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eclyde/Desktop/"/>
    </mc:Choice>
  </mc:AlternateContent>
  <xr:revisionPtr revIDLastSave="0" documentId="8_{DA111702-53C0-FB4E-8D09-E1E2D7C58960}" xr6:coauthVersionLast="46" xr6:coauthVersionMax="46" xr10:uidLastSave="{00000000-0000-0000-0000-000000000000}"/>
  <bookViews>
    <workbookView xWindow="0" yWindow="460" windowWidth="28800" windowHeight="16480" activeTab="4" xr2:uid="{FFA41E5D-43D5-4BE8-A4F9-6B9C063A4E5C}"/>
  </bookViews>
  <sheets>
    <sheet name=" Common Size" sheetId="1" r:id="rId1"/>
    <sheet name="Statement of Cash Flows" sheetId="2" r:id="rId2"/>
    <sheet name="FCF NOWC EVA MVA " sheetId="3" r:id="rId3"/>
    <sheet name=" Capital Budget and Uncertainty" sheetId="4" r:id="rId4"/>
    <sheet name=" Forecast Analysis " sheetId="5" r:id="rId5"/>
    <sheet name="GRADE SHEET"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5" l="1"/>
  <c r="F8" i="6" s="1"/>
  <c r="D75" i="5"/>
  <c r="E8" i="6" s="1"/>
  <c r="O58" i="5"/>
  <c r="N58" i="5"/>
  <c r="E50" i="5"/>
  <c r="E53" i="5" s="1"/>
  <c r="E43" i="5"/>
  <c r="E45" i="5" s="1"/>
  <c r="N42" i="5"/>
  <c r="N43" i="5" s="1"/>
  <c r="N40" i="5"/>
  <c r="N41" i="5" s="1"/>
  <c r="N32" i="5"/>
  <c r="E30" i="5"/>
  <c r="E28" i="5"/>
  <c r="N33" i="5" s="1"/>
  <c r="E27" i="5"/>
  <c r="N25" i="5"/>
  <c r="D11" i="5"/>
  <c r="H49" i="4"/>
  <c r="F7" i="6" s="1"/>
  <c r="G49" i="4"/>
  <c r="E7" i="6" s="1"/>
  <c r="I27" i="4"/>
  <c r="H27" i="4"/>
  <c r="G27" i="4"/>
  <c r="F27" i="4"/>
  <c r="I26" i="4"/>
  <c r="I28" i="4" s="1"/>
  <c r="H26" i="4"/>
  <c r="H28" i="4" s="1"/>
  <c r="G26" i="4"/>
  <c r="G28" i="4" s="1"/>
  <c r="F26" i="4"/>
  <c r="F28" i="4" s="1"/>
  <c r="I25" i="4"/>
  <c r="I30" i="4" s="1"/>
  <c r="H25" i="4"/>
  <c r="H30" i="4" s="1"/>
  <c r="G25" i="4"/>
  <c r="F25" i="4"/>
  <c r="E23" i="4"/>
  <c r="I35" i="4" s="1"/>
  <c r="E22" i="4"/>
  <c r="E38" i="4" s="1"/>
  <c r="D10" i="4"/>
  <c r="I36" i="4" s="1"/>
  <c r="D68" i="3"/>
  <c r="F64" i="3"/>
  <c r="E64" i="3"/>
  <c r="E68" i="3" s="1"/>
  <c r="F47" i="3"/>
  <c r="E47" i="3"/>
  <c r="F45" i="3"/>
  <c r="F46" i="3" s="1"/>
  <c r="F48" i="3" s="1"/>
  <c r="E45" i="3"/>
  <c r="E46" i="3" s="1"/>
  <c r="E48" i="3" s="1"/>
  <c r="E49" i="3" s="1"/>
  <c r="M33" i="3"/>
  <c r="F6" i="6" s="1"/>
  <c r="L33" i="3"/>
  <c r="E6" i="6" s="1"/>
  <c r="F26" i="3"/>
  <c r="F29" i="3" s="1"/>
  <c r="F32" i="3" s="1"/>
  <c r="E26" i="3"/>
  <c r="E29" i="3" s="1"/>
  <c r="F21" i="3"/>
  <c r="F19" i="3"/>
  <c r="E19" i="3"/>
  <c r="E21" i="3" s="1"/>
  <c r="D68" i="2"/>
  <c r="G64" i="2"/>
  <c r="F64" i="2"/>
  <c r="E64" i="2"/>
  <c r="E68" i="2" s="1"/>
  <c r="F47" i="2"/>
  <c r="E47" i="2"/>
  <c r="F46" i="2"/>
  <c r="F48" i="2" s="1"/>
  <c r="F49" i="2" s="1"/>
  <c r="F45" i="2"/>
  <c r="E45" i="2"/>
  <c r="M44" i="2"/>
  <c r="F5" i="6" s="1"/>
  <c r="L44" i="2"/>
  <c r="E5" i="6" s="1"/>
  <c r="F26" i="2"/>
  <c r="F29" i="2" s="1"/>
  <c r="F32" i="2" s="1"/>
  <c r="E26" i="2"/>
  <c r="E29" i="2" s="1"/>
  <c r="F19" i="2"/>
  <c r="F21" i="2" s="1"/>
  <c r="E19" i="2"/>
  <c r="F47" i="1"/>
  <c r="E47" i="1"/>
  <c r="F45" i="1"/>
  <c r="E45" i="1"/>
  <c r="L37" i="1"/>
  <c r="F4" i="6" s="1"/>
  <c r="K37" i="1"/>
  <c r="E4" i="6" s="1"/>
  <c r="F26" i="1"/>
  <c r="F29" i="1" s="1"/>
  <c r="E26" i="1"/>
  <c r="E29" i="1" s="1"/>
  <c r="F19" i="1"/>
  <c r="E19" i="1"/>
  <c r="E21" i="1" s="1"/>
  <c r="F30" i="4" l="1"/>
  <c r="F32" i="1"/>
  <c r="F10" i="6"/>
  <c r="F50" i="2"/>
  <c r="I32" i="4"/>
  <c r="I33" i="4" s="1"/>
  <c r="I38" i="4" s="1"/>
  <c r="I41" i="4" s="1"/>
  <c r="I31" i="4"/>
  <c r="F21" i="1"/>
  <c r="E46" i="1"/>
  <c r="E21" i="2"/>
  <c r="E46" i="2"/>
  <c r="F31" i="4"/>
  <c r="F32" i="4" s="1"/>
  <c r="F33" i="4" s="1"/>
  <c r="F38" i="4" s="1"/>
  <c r="N68" i="5"/>
  <c r="N44" i="5"/>
  <c r="N67" i="5"/>
  <c r="N31" i="5"/>
  <c r="E56" i="5"/>
  <c r="G30" i="4"/>
  <c r="F50" i="3"/>
  <c r="F49" i="3"/>
  <c r="E41" i="4"/>
  <c r="E42" i="4" s="1"/>
  <c r="E40" i="4"/>
  <c r="H31" i="4"/>
  <c r="H32" i="4" s="1"/>
  <c r="H33" i="4" s="1"/>
  <c r="H38" i="4" s="1"/>
  <c r="H41" i="4" s="1"/>
  <c r="E50" i="3"/>
  <c r="N24" i="5"/>
  <c r="E31" i="5"/>
  <c r="E32" i="5" s="1"/>
  <c r="F46" i="1"/>
  <c r="G64" i="3"/>
  <c r="N26" i="5"/>
  <c r="F41" i="4" l="1"/>
  <c r="N66" i="5"/>
  <c r="N70" i="5" s="1"/>
  <c r="N49" i="5"/>
  <c r="N55" i="5"/>
  <c r="N56" i="5" s="1"/>
  <c r="N48" i="5"/>
  <c r="E34" i="5"/>
  <c r="E35" i="5"/>
  <c r="N50" i="5"/>
  <c r="F42" i="4"/>
  <c r="O42" i="5"/>
  <c r="O43" i="5" s="1"/>
  <c r="E48" i="2"/>
  <c r="F53" i="3"/>
  <c r="F52" i="3"/>
  <c r="F48" i="1"/>
  <c r="G31" i="4"/>
  <c r="G32" i="4" s="1"/>
  <c r="G33" i="4" s="1"/>
  <c r="G38" i="4" s="1"/>
  <c r="G41" i="4" s="1"/>
  <c r="O40" i="5"/>
  <c r="O41" i="5" s="1"/>
  <c r="F52" i="2"/>
  <c r="F53" i="2" s="1"/>
  <c r="F65" i="3"/>
  <c r="E52" i="3"/>
  <c r="F66" i="3" s="1"/>
  <c r="F40" i="4"/>
  <c r="E48" i="1"/>
  <c r="G40" i="4" l="1"/>
  <c r="H40" i="4" s="1"/>
  <c r="I40" i="4" s="1"/>
  <c r="E53" i="3"/>
  <c r="F49" i="1"/>
  <c r="D46" i="4"/>
  <c r="E49" i="2"/>
  <c r="D45" i="4"/>
  <c r="E50" i="1"/>
  <c r="E49" i="1"/>
  <c r="F68" i="3"/>
  <c r="D48" i="4"/>
  <c r="G42" i="4"/>
  <c r="D47" i="4"/>
  <c r="D52" i="4"/>
  <c r="D50" i="4" s="1"/>
  <c r="E50" i="2" l="1"/>
  <c r="F50" i="1"/>
  <c r="E31" i="3"/>
  <c r="E32" i="3" s="1"/>
  <c r="G67" i="3"/>
  <c r="G68" i="3" s="1"/>
  <c r="H42" i="4"/>
  <c r="I42" i="4" s="1"/>
  <c r="E52" i="1"/>
  <c r="D49" i="4" l="1"/>
  <c r="E52" i="2"/>
  <c r="F65" i="2"/>
  <c r="F52" i="1"/>
  <c r="F53" i="1" s="1"/>
  <c r="E53" i="1"/>
  <c r="O44" i="5"/>
  <c r="O67" i="5"/>
  <c r="O68" i="5" l="1"/>
  <c r="F66" i="2"/>
  <c r="E31" i="1"/>
  <c r="E53" i="2"/>
  <c r="F68" i="2"/>
  <c r="G67" i="2" l="1"/>
  <c r="G68" i="2" s="1"/>
  <c r="E31" i="2"/>
  <c r="E32" i="1"/>
  <c r="E32" i="2" l="1"/>
  <c r="O33" i="5" l="1"/>
  <c r="O32" i="5"/>
  <c r="P32" i="5" s="1"/>
  <c r="O26" i="5" l="1"/>
  <c r="O25" i="5"/>
  <c r="O24" i="5"/>
  <c r="O55" i="5" l="1"/>
  <c r="O56" i="5" s="1"/>
  <c r="O48" i="5"/>
  <c r="O61" i="5"/>
  <c r="O50" i="5"/>
  <c r="O66" i="5"/>
  <c r="O70" i="5" s="1"/>
  <c r="O49" i="5"/>
  <c r="O60" i="5"/>
  <c r="O31" i="5"/>
  <c r="P31" i="5" s="1"/>
  <c r="O57" i="5" l="1"/>
</calcChain>
</file>

<file path=xl/sharedStrings.xml><?xml version="1.0" encoding="utf-8"?>
<sst xmlns="http://schemas.openxmlformats.org/spreadsheetml/2006/main" count="365" uniqueCount="197">
  <si>
    <t>Year end common stock price</t>
  </si>
  <si>
    <t>Year-end shares outstanding (in 000's)</t>
  </si>
  <si>
    <t>Tax rate</t>
  </si>
  <si>
    <t>Weighted average cost of capital</t>
  </si>
  <si>
    <t>POR</t>
  </si>
  <si>
    <t>Interest cost</t>
  </si>
  <si>
    <t>Cell for "-1"</t>
  </si>
  <si>
    <t>Cell for "1"</t>
  </si>
  <si>
    <t>COLLOSEUM CHEMICAL COMPANY</t>
  </si>
  <si>
    <t>Balance Sheet December 31, in USD 000's</t>
  </si>
  <si>
    <t>Cash</t>
  </si>
  <si>
    <t>Recievables</t>
  </si>
  <si>
    <t>Inventories</t>
  </si>
  <si>
    <t>Total current assets</t>
  </si>
  <si>
    <t>Fixed assets</t>
  </si>
  <si>
    <t>Total assets</t>
  </si>
  <si>
    <t>Accounts payable</t>
  </si>
  <si>
    <t>Notes payable</t>
  </si>
  <si>
    <t>Current portion of long-term debt</t>
  </si>
  <si>
    <t>Total current liabilities</t>
  </si>
  <si>
    <t>Long-term debt</t>
  </si>
  <si>
    <t>Deferred income taxes</t>
  </si>
  <si>
    <t>Points Possible</t>
  </si>
  <si>
    <t>Points Earned</t>
  </si>
  <si>
    <t>Total debt</t>
  </si>
  <si>
    <t>Common stock</t>
  </si>
  <si>
    <t>Common size</t>
  </si>
  <si>
    <t>Retained earnings</t>
  </si>
  <si>
    <t>Statement of Stockholders' Equity</t>
  </si>
  <si>
    <t>Total liabilities and equity</t>
  </si>
  <si>
    <t>Observation 1</t>
  </si>
  <si>
    <t>Observation 2</t>
  </si>
  <si>
    <t>Observation 3</t>
  </si>
  <si>
    <t>Observation 4</t>
  </si>
  <si>
    <t>Income Statement December 31 in USD 000's</t>
  </si>
  <si>
    <t>Observation 5</t>
  </si>
  <si>
    <t>Sales</t>
  </si>
  <si>
    <t>Costs of goods sold</t>
  </si>
  <si>
    <t>SGA</t>
  </si>
  <si>
    <t>Depreciation</t>
  </si>
  <si>
    <t>Research and development</t>
  </si>
  <si>
    <t>Operating Costs</t>
  </si>
  <si>
    <t>Operating income</t>
  </si>
  <si>
    <t>Interest</t>
  </si>
  <si>
    <t>EBT</t>
  </si>
  <si>
    <t>Taxes</t>
  </si>
  <si>
    <t>Net income</t>
  </si>
  <si>
    <t>Dividends</t>
  </si>
  <si>
    <t>Addition to RE</t>
  </si>
  <si>
    <t>Statement of Stockholders' Equity December 31 USD 000's</t>
  </si>
  <si>
    <t>Number of Shares Outstanding</t>
  </si>
  <si>
    <t>Amount</t>
  </si>
  <si>
    <t>Retained Earnings</t>
  </si>
  <si>
    <t>Total Stockholders' Equity</t>
  </si>
  <si>
    <t>Balances December 31 2018</t>
  </si>
  <si>
    <t>Add: Net income 2019</t>
  </si>
  <si>
    <t>Less: Dividends to common stockholders</t>
  </si>
  <si>
    <t>Additions (Subtractions) to Retained earnings</t>
  </si>
  <si>
    <t>Balances December 31 2019</t>
  </si>
  <si>
    <t>COLLOSEUM CASH FLOW POSITION 2019</t>
  </si>
  <si>
    <t>I. Operating Activities</t>
  </si>
  <si>
    <t>Depreciation and amortization</t>
  </si>
  <si>
    <t>Change in inventories</t>
  </si>
  <si>
    <t>Change in accounts receivable</t>
  </si>
  <si>
    <t>Change in accounts payable</t>
  </si>
  <si>
    <t xml:space="preserve"> </t>
  </si>
  <si>
    <t>Net cash provided by (used in) operating activities</t>
  </si>
  <si>
    <t>II. Investing Activities</t>
  </si>
  <si>
    <t>Changes in property, plant and equipment</t>
  </si>
  <si>
    <t>Net cash used in investing activities</t>
  </si>
  <si>
    <t>III. Financing Activities</t>
  </si>
  <si>
    <t>Change in notes payable</t>
  </si>
  <si>
    <t>Change in bonds</t>
  </si>
  <si>
    <t>Payment of dividends to common stockholders</t>
  </si>
  <si>
    <t>Net cash provided by (used in) financing activities</t>
  </si>
  <si>
    <t>Summary</t>
  </si>
  <si>
    <t>Net change in cash (Net sum of I, II, III)</t>
  </si>
  <si>
    <t>Cash and equivalents at the beginning of the year</t>
  </si>
  <si>
    <t>Cash and equivalents at the end of the year</t>
  </si>
  <si>
    <t>Calculations</t>
  </si>
  <si>
    <t>Total</t>
  </si>
  <si>
    <t>NOWC 2018</t>
  </si>
  <si>
    <t>NOWC 2019</t>
  </si>
  <si>
    <t>∆ NOWC</t>
  </si>
  <si>
    <t>Free cash flow 2019</t>
  </si>
  <si>
    <t>After-tax EBIT</t>
  </si>
  <si>
    <t>Capex</t>
  </si>
  <si>
    <t>Cost of capital</t>
  </si>
  <si>
    <t>EVA</t>
  </si>
  <si>
    <t>Market value of common equity, in 000's</t>
  </si>
  <si>
    <t>Book value of common equity, in 000's</t>
  </si>
  <si>
    <t>MVA</t>
  </si>
  <si>
    <t>Observations</t>
  </si>
  <si>
    <t>COLLOSEUM CAPITAL BUDGET ANALYSIS</t>
  </si>
  <si>
    <t>New testing equipment for customer service lab</t>
  </si>
  <si>
    <t>Shipping and installation</t>
  </si>
  <si>
    <t>Estimated increase in annual revenues</t>
  </si>
  <si>
    <t xml:space="preserve">Annual fixed costs of operating new system </t>
  </si>
  <si>
    <t>Variable costs as percentage of sales revenue</t>
  </si>
  <si>
    <t>Change in NOWC</t>
  </si>
  <si>
    <t xml:space="preserve">Salvage value </t>
  </si>
  <si>
    <t>Salvage value percent of new machine cost</t>
  </si>
  <si>
    <t>Economic life, in years</t>
  </si>
  <si>
    <t>Marginal tax rate</t>
  </si>
  <si>
    <t>WACC</t>
  </si>
  <si>
    <t>Exponent "2"</t>
  </si>
  <si>
    <t>CF0</t>
  </si>
  <si>
    <t>CF1</t>
  </si>
  <si>
    <t>CF2</t>
  </si>
  <si>
    <t>CF3</t>
  </si>
  <si>
    <t>CF4</t>
  </si>
  <si>
    <t>CAPEX</t>
  </si>
  <si>
    <t>NOWC</t>
  </si>
  <si>
    <t>Revenues</t>
  </si>
  <si>
    <t xml:space="preserve">Variable costs </t>
  </si>
  <si>
    <t>Annual fixed costs</t>
  </si>
  <si>
    <t>Total costs</t>
  </si>
  <si>
    <t>Pre-tax operating income</t>
  </si>
  <si>
    <t>AT operating income</t>
  </si>
  <si>
    <t>Operating cash flow</t>
  </si>
  <si>
    <t>Recovery NWC</t>
  </si>
  <si>
    <t>AT sale of machine</t>
  </si>
  <si>
    <t>Total cash flow</t>
  </si>
  <si>
    <t>Cumulative cash flow</t>
  </si>
  <si>
    <t>Discounted cash flow</t>
  </si>
  <si>
    <t>Cumulative discounted cash flow</t>
  </si>
  <si>
    <t>NPV</t>
  </si>
  <si>
    <t>IRR</t>
  </si>
  <si>
    <t>MIRR</t>
  </si>
  <si>
    <t>Decision criteria</t>
  </si>
  <si>
    <t>PB</t>
  </si>
  <si>
    <t>CV</t>
  </si>
  <si>
    <t>DPB</t>
  </si>
  <si>
    <t>Totals</t>
  </si>
  <si>
    <t>PI</t>
  </si>
  <si>
    <t>NPV CF1 - 4</t>
  </si>
  <si>
    <t>Forecast 2020</t>
  </si>
  <si>
    <t>Sales growth</t>
  </si>
  <si>
    <t>N/P interest rate</t>
  </si>
  <si>
    <t>L/T interest rate</t>
  </si>
  <si>
    <t xml:space="preserve">Percentage N/P </t>
  </si>
  <si>
    <t>Percentage LTD</t>
  </si>
  <si>
    <t>Days in year</t>
  </si>
  <si>
    <t>Number of shares outstanding</t>
  </si>
  <si>
    <t>Price per share 2018</t>
  </si>
  <si>
    <t>Price per share 2019 E</t>
  </si>
  <si>
    <t>Basis Pro Forma</t>
  </si>
  <si>
    <t>Forecast Basis</t>
  </si>
  <si>
    <t>Additions</t>
  </si>
  <si>
    <t>Financing</t>
  </si>
  <si>
    <t>Pro Forma after Financing</t>
  </si>
  <si>
    <t>2020 Proforma</t>
  </si>
  <si>
    <t>LIQUIDITY</t>
  </si>
  <si>
    <t>Current</t>
  </si>
  <si>
    <t>Quick</t>
  </si>
  <si>
    <t>Cash ratio</t>
  </si>
  <si>
    <t>LEVERAGE</t>
  </si>
  <si>
    <t>Percent ∆</t>
  </si>
  <si>
    <t>Debt ratio</t>
  </si>
  <si>
    <t>D/E</t>
  </si>
  <si>
    <t>TIE</t>
  </si>
  <si>
    <t>ASSET MANAGEMENT</t>
  </si>
  <si>
    <t>Inventory turnover</t>
  </si>
  <si>
    <t>Days sales in inventory</t>
  </si>
  <si>
    <t>Receivables turnover</t>
  </si>
  <si>
    <t>Days sales in receivables</t>
  </si>
  <si>
    <t>Total asset turnover</t>
  </si>
  <si>
    <t>PROFIT</t>
  </si>
  <si>
    <t>Profit margin</t>
  </si>
  <si>
    <t>Return on assets</t>
  </si>
  <si>
    <t>Return on equity</t>
  </si>
  <si>
    <t>MARKET VALUE</t>
  </si>
  <si>
    <t>EPS</t>
  </si>
  <si>
    <t>P/E</t>
  </si>
  <si>
    <t>P/E to growth</t>
  </si>
  <si>
    <t>M/B</t>
  </si>
  <si>
    <t>AFN</t>
  </si>
  <si>
    <t>Dividend growth</t>
  </si>
  <si>
    <t>Net income growth</t>
  </si>
  <si>
    <t>DUPONT ANALYSIS</t>
  </si>
  <si>
    <t>2020 Pro Forma</t>
  </si>
  <si>
    <t xml:space="preserve">Operating efficiency </t>
  </si>
  <si>
    <t>Liquidity ratios</t>
  </si>
  <si>
    <t>Asset management efficiency</t>
  </si>
  <si>
    <t>Leverage ratios</t>
  </si>
  <si>
    <t>Financial leverage</t>
  </si>
  <si>
    <t>Asset ratios</t>
  </si>
  <si>
    <t>Profit ratios</t>
  </si>
  <si>
    <t>ROE</t>
  </si>
  <si>
    <t>Market ratios</t>
  </si>
  <si>
    <t>DuPont Analysis</t>
  </si>
  <si>
    <t>Goal Seek Analysis</t>
  </si>
  <si>
    <t>TOTALS</t>
  </si>
  <si>
    <t>Statement of Cash Flows</t>
  </si>
  <si>
    <t>FCF NOWC EVA MVA</t>
  </si>
  <si>
    <t>Capital Budget and Uncertainty</t>
  </si>
  <si>
    <t>Forecast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</si>
</sst>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00"/>
    <numFmt numFmtId="165" formatCode="_(* #,##0.0_);_(* \(#,##0.0\);_(* &quot;-&quot;??_);_(@_)"/>
    <numFmt numFmtId="166" formatCode="#,##0.0"/>
    <numFmt numFmtId="167" formatCode="_(* #,##0_);_(* \(#,##0\);_(* &quot;-&quot;??_);_(@_)"/>
    <numFmt numFmtId="168" formatCode="0.0_);\(0.0\)"/>
    <numFmt numFmtId="169" formatCode="0.0"/>
    <numFmt numFmtId="170" formatCode="0.000"/>
    <numFmt numFmtId="171" formatCode="_(* #,##0.000_);_(* \(#,##0.000\);_(* &quot;-&quot;??_);_(@_)"/>
    <numFmt numFmtId="172" formatCode="_(* #,##0_);_(* \(#,##0\);_(* &quot;-&quot;????_);_(@_)"/>
  </numFmts>
  <fonts count="8" x14ac:knownFonts="1">
    <font>
      <sz val="10"/>
      <name val="Arial"/>
      <family val="2"/>
    </font>
    <font>
      <sz val="11"/>
      <color theme="1"/>
      <name val="Calibri"/>
      <family val="2"/>
      <scheme val="minor"/>
    </font>
    <font>
      <sz val="10"/>
      <name val="Arial"/>
      <family val="2"/>
    </font>
    <font>
      <sz val="10"/>
      <name val="Calibri"/>
      <family val="2"/>
      <scheme val="minor"/>
    </font>
    <font>
      <b/>
      <sz val="10"/>
      <name val="Calibri"/>
      <family val="2"/>
      <scheme val="minor"/>
    </font>
    <font>
      <u val="singleAccounting"/>
      <sz val="10"/>
      <name val="Calibri"/>
      <family val="2"/>
      <scheme val="minor"/>
    </font>
    <font>
      <sz val="10"/>
      <color theme="1"/>
      <name val="Calibri"/>
      <family val="2"/>
      <scheme val="minor"/>
    </font>
    <font>
      <sz val="1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99"/>
        <bgColor indexed="64"/>
      </patternFill>
    </fill>
    <fill>
      <patternFill patternType="solid">
        <fgColor theme="9" tint="0.79998168889431442"/>
        <bgColor indexed="64"/>
      </patternFill>
    </fill>
  </fills>
  <borders count="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130">
    <xf numFmtId="0" fontId="0" fillId="0" borderId="0" xfId="0"/>
    <xf numFmtId="0" fontId="3" fillId="0" borderId="0" xfId="0" applyFont="1"/>
    <xf numFmtId="0" fontId="3" fillId="2" borderId="0" xfId="0" applyFont="1" applyFill="1"/>
    <xf numFmtId="2" fontId="3" fillId="2" borderId="0" xfId="0" applyNumberFormat="1" applyFont="1" applyFill="1"/>
    <xf numFmtId="164" fontId="3" fillId="2" borderId="0" xfId="0" applyNumberFormat="1" applyFont="1" applyFill="1"/>
    <xf numFmtId="0" fontId="3" fillId="0" borderId="0" xfId="0" applyFont="1" applyAlignment="1">
      <alignment horizontal="center"/>
    </xf>
    <xf numFmtId="0" fontId="3" fillId="0" borderId="0" xfId="0" applyFont="1" applyAlignment="1">
      <alignment horizontal="center" wrapText="1"/>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3" borderId="0" xfId="0" applyFont="1" applyFill="1"/>
    <xf numFmtId="165" fontId="3" fillId="2" borderId="0" xfId="1" applyNumberFormat="1" applyFont="1" applyFill="1"/>
    <xf numFmtId="166" fontId="3" fillId="2" borderId="0" xfId="0" applyNumberFormat="1" applyFont="1" applyFill="1"/>
    <xf numFmtId="164" fontId="3" fillId="3" borderId="0" xfId="0" applyNumberFormat="1" applyFont="1" applyFill="1"/>
    <xf numFmtId="0" fontId="3" fillId="0" borderId="0" xfId="0" applyFont="1" applyAlignment="1">
      <alignment horizontal="left" indent="1"/>
    </xf>
    <xf numFmtId="167" fontId="3" fillId="0" borderId="0" xfId="0" applyNumberFormat="1" applyFont="1"/>
    <xf numFmtId="165" fontId="3" fillId="0" borderId="0" xfId="0" applyNumberFormat="1" applyFont="1"/>
    <xf numFmtId="0" fontId="3" fillId="0" borderId="0" xfId="0" applyFont="1" applyAlignment="1">
      <alignment horizontal="center" vertical="center"/>
    </xf>
    <xf numFmtId="165" fontId="3" fillId="2" borderId="1" xfId="1" applyNumberFormat="1" applyFont="1" applyFill="1" applyBorder="1"/>
    <xf numFmtId="166" fontId="3" fillId="2" borderId="1" xfId="0" applyNumberFormat="1" applyFont="1" applyFill="1" applyBorder="1"/>
    <xf numFmtId="168" fontId="3" fillId="0" borderId="0" xfId="0" applyNumberFormat="1" applyFont="1"/>
    <xf numFmtId="43" fontId="3" fillId="0" borderId="0" xfId="0" applyNumberFormat="1" applyFont="1"/>
    <xf numFmtId="0" fontId="3" fillId="2" borderId="0" xfId="0" applyFont="1" applyFill="1" applyAlignment="1">
      <alignment horizontal="left" indent="1"/>
    </xf>
    <xf numFmtId="169" fontId="3" fillId="0" borderId="0" xfId="0" applyNumberFormat="1" applyFont="1"/>
    <xf numFmtId="165" fontId="3" fillId="2" borderId="2" xfId="1" applyNumberFormat="1" applyFont="1" applyFill="1" applyBorder="1"/>
    <xf numFmtId="166" fontId="3" fillId="2" borderId="2" xfId="0" applyNumberFormat="1" applyFont="1" applyFill="1" applyBorder="1"/>
    <xf numFmtId="0" fontId="3" fillId="0" borderId="0" xfId="0" applyFont="1" applyAlignment="1">
      <alignment horizontal="left" indent="2"/>
    </xf>
    <xf numFmtId="0" fontId="3" fillId="0" borderId="0" xfId="0" applyFont="1" applyAlignment="1">
      <alignment horizontal="left"/>
    </xf>
    <xf numFmtId="165" fontId="5" fillId="0" borderId="0" xfId="0" applyNumberFormat="1" applyFont="1"/>
    <xf numFmtId="166" fontId="3" fillId="0" borderId="0" xfId="0" applyNumberFormat="1" applyFont="1"/>
    <xf numFmtId="0" fontId="3" fillId="4" borderId="0" xfId="0" applyFont="1" applyFill="1" applyAlignment="1">
      <alignment wrapText="1"/>
    </xf>
    <xf numFmtId="0" fontId="3" fillId="5" borderId="0" xfId="0" applyFont="1" applyFill="1" applyAlignment="1">
      <alignment wrapText="1"/>
    </xf>
    <xf numFmtId="0" fontId="3" fillId="4" borderId="0" xfId="0" applyFont="1" applyFill="1"/>
    <xf numFmtId="0" fontId="3" fillId="5" borderId="0" xfId="0" applyFont="1" applyFill="1"/>
    <xf numFmtId="43" fontId="5" fillId="0" borderId="0" xfId="0" applyNumberFormat="1" applyFont="1"/>
    <xf numFmtId="164" fontId="3" fillId="0" borderId="0" xfId="0" applyNumberFormat="1" applyFont="1"/>
    <xf numFmtId="0" fontId="3" fillId="4" borderId="1" xfId="0" applyFont="1" applyFill="1" applyBorder="1"/>
    <xf numFmtId="0" fontId="3" fillId="5" borderId="1" xfId="0" applyFont="1" applyFill="1" applyBorder="1"/>
    <xf numFmtId="0" fontId="3" fillId="2" borderId="0" xfId="0" applyFont="1" applyFill="1" applyAlignment="1">
      <alignment horizontal="center"/>
    </xf>
    <xf numFmtId="0" fontId="3" fillId="0" borderId="0" xfId="0" applyFont="1" applyAlignment="1">
      <alignment wrapText="1"/>
    </xf>
    <xf numFmtId="170" fontId="3" fillId="3" borderId="0" xfId="0" applyNumberFormat="1" applyFont="1" applyFill="1"/>
    <xf numFmtId="165" fontId="3" fillId="2" borderId="3" xfId="1" applyNumberFormat="1" applyFont="1" applyFill="1" applyBorder="1"/>
    <xf numFmtId="43" fontId="3" fillId="2" borderId="0" xfId="0" applyNumberFormat="1" applyFont="1" applyFill="1"/>
    <xf numFmtId="0" fontId="3" fillId="2" borderId="0" xfId="0" applyFont="1" applyFill="1" applyAlignment="1">
      <alignment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wrapText="1"/>
    </xf>
    <xf numFmtId="166" fontId="3" fillId="3" borderId="0" xfId="0" applyNumberFormat="1" applyFont="1" applyFill="1"/>
    <xf numFmtId="165" fontId="3" fillId="3" borderId="0" xfId="1" applyNumberFormat="1" applyFont="1" applyFill="1"/>
    <xf numFmtId="0" fontId="3" fillId="3" borderId="1" xfId="0" applyFont="1" applyFill="1" applyBorder="1"/>
    <xf numFmtId="165" fontId="3" fillId="3" borderId="1" xfId="1" applyNumberFormat="1" applyFont="1" applyFill="1" applyBorder="1"/>
    <xf numFmtId="165" fontId="3" fillId="3" borderId="1" xfId="0" applyNumberFormat="1" applyFont="1" applyFill="1" applyBorder="1"/>
    <xf numFmtId="165" fontId="3" fillId="3" borderId="0" xfId="0" applyNumberFormat="1" applyFont="1" applyFill="1"/>
    <xf numFmtId="169" fontId="3" fillId="3" borderId="0" xfId="0" applyNumberFormat="1" applyFont="1" applyFill="1"/>
    <xf numFmtId="0" fontId="3" fillId="3" borderId="0" xfId="0" applyFont="1" applyFill="1" applyAlignment="1">
      <alignment horizontal="left" indent="1"/>
    </xf>
    <xf numFmtId="167" fontId="3" fillId="3" borderId="0" xfId="0" applyNumberFormat="1" applyFont="1" applyFill="1"/>
    <xf numFmtId="168" fontId="3" fillId="3" borderId="0" xfId="0" applyNumberFormat="1" applyFont="1" applyFill="1"/>
    <xf numFmtId="43" fontId="3" fillId="3" borderId="0" xfId="0" applyNumberFormat="1" applyFont="1" applyFill="1"/>
    <xf numFmtId="0" fontId="3" fillId="3" borderId="0" xfId="0" applyFont="1" applyFill="1" applyAlignment="1">
      <alignment horizontal="left" indent="2"/>
    </xf>
    <xf numFmtId="0" fontId="3" fillId="3" borderId="0" xfId="0" applyFont="1" applyFill="1" applyAlignment="1">
      <alignment horizontal="left"/>
    </xf>
    <xf numFmtId="0" fontId="6" fillId="3" borderId="0" xfId="0" applyFont="1" applyFill="1" applyAlignment="1">
      <alignment horizontal="left"/>
    </xf>
    <xf numFmtId="0" fontId="3" fillId="0" borderId="0" xfId="0" applyFont="1" applyAlignment="1">
      <alignment vertical="center" wrapText="1"/>
    </xf>
    <xf numFmtId="1" fontId="3" fillId="4" borderId="0" xfId="0" applyNumberFormat="1" applyFont="1" applyFill="1"/>
    <xf numFmtId="164" fontId="3" fillId="0" borderId="0" xfId="0" applyNumberFormat="1" applyFont="1" applyAlignment="1">
      <alignment horizontal="left" indent="1"/>
    </xf>
    <xf numFmtId="164" fontId="3" fillId="0" borderId="0" xfId="0" applyNumberFormat="1" applyFont="1" applyAlignment="1">
      <alignment horizontal="left"/>
    </xf>
    <xf numFmtId="0" fontId="1" fillId="0" borderId="0" xfId="2"/>
    <xf numFmtId="0" fontId="1" fillId="2" borderId="0" xfId="2" applyFill="1"/>
    <xf numFmtId="167" fontId="0" fillId="2" borderId="0" xfId="3" applyNumberFormat="1" applyFont="1" applyFill="1"/>
    <xf numFmtId="3" fontId="1" fillId="2" borderId="0" xfId="2" applyNumberFormat="1" applyFill="1"/>
    <xf numFmtId="4" fontId="1" fillId="2" borderId="0" xfId="2" applyNumberFormat="1" applyFill="1"/>
    <xf numFmtId="0" fontId="1" fillId="0" borderId="0" xfId="2" applyAlignment="1">
      <alignment horizontal="center"/>
    </xf>
    <xf numFmtId="171" fontId="0" fillId="2" borderId="0" xfId="3" applyNumberFormat="1" applyFont="1" applyFill="1"/>
    <xf numFmtId="164" fontId="1" fillId="2" borderId="0" xfId="2" applyNumberFormat="1" applyFill="1"/>
    <xf numFmtId="167" fontId="1" fillId="2" borderId="0" xfId="2" applyNumberFormat="1" applyFill="1"/>
    <xf numFmtId="167" fontId="1" fillId="0" borderId="0" xfId="2" applyNumberFormat="1"/>
    <xf numFmtId="0" fontId="1" fillId="2" borderId="0" xfId="2" applyFill="1" applyAlignment="1">
      <alignment horizontal="center"/>
    </xf>
    <xf numFmtId="167" fontId="1" fillId="3" borderId="0" xfId="2" applyNumberFormat="1" applyFill="1"/>
    <xf numFmtId="172" fontId="1" fillId="3" borderId="1" xfId="2" applyNumberFormat="1" applyFill="1" applyBorder="1"/>
    <xf numFmtId="167" fontId="0" fillId="3" borderId="0" xfId="3" applyNumberFormat="1" applyFont="1" applyFill="1"/>
    <xf numFmtId="0" fontId="1" fillId="0" borderId="1" xfId="2" applyBorder="1"/>
    <xf numFmtId="167" fontId="0" fillId="0" borderId="1" xfId="3" applyNumberFormat="1" applyFont="1" applyBorder="1"/>
    <xf numFmtId="167" fontId="1" fillId="3" borderId="2" xfId="2" applyNumberFormat="1" applyFill="1" applyBorder="1"/>
    <xf numFmtId="0" fontId="1" fillId="4" borderId="0" xfId="2" applyFill="1" applyAlignment="1">
      <alignment horizontal="center" wrapText="1"/>
    </xf>
    <xf numFmtId="0" fontId="1" fillId="5" borderId="0" xfId="2" applyFill="1" applyAlignment="1">
      <alignment horizontal="center" wrapText="1"/>
    </xf>
    <xf numFmtId="167" fontId="1" fillId="4" borderId="0" xfId="2" applyNumberFormat="1" applyFill="1"/>
    <xf numFmtId="167" fontId="1" fillId="5" borderId="0" xfId="2" applyNumberFormat="1" applyFill="1"/>
    <xf numFmtId="167" fontId="1" fillId="4" borderId="1" xfId="2" applyNumberFormat="1" applyFill="1" applyBorder="1"/>
    <xf numFmtId="167" fontId="1" fillId="5" borderId="1" xfId="2" applyNumberFormat="1" applyFill="1" applyBorder="1"/>
    <xf numFmtId="167" fontId="1" fillId="0" borderId="0" xfId="1" applyNumberFormat="1" applyFont="1"/>
    <xf numFmtId="164" fontId="1" fillId="0" borderId="0" xfId="2" applyNumberFormat="1"/>
    <xf numFmtId="2" fontId="3" fillId="2" borderId="4" xfId="0" applyNumberFormat="1" applyFont="1" applyFill="1" applyBorder="1"/>
    <xf numFmtId="164" fontId="3" fillId="2" borderId="4" xfId="0" applyNumberFormat="1" applyFont="1" applyFill="1" applyBorder="1"/>
    <xf numFmtId="169" fontId="3" fillId="2" borderId="0" xfId="0" applyNumberFormat="1" applyFont="1" applyFill="1"/>
    <xf numFmtId="1" fontId="3" fillId="2" borderId="0" xfId="0" applyNumberFormat="1" applyFont="1" applyFill="1"/>
    <xf numFmtId="167" fontId="3" fillId="2" borderId="0" xfId="1" applyNumberFormat="1" applyFont="1" applyFill="1"/>
    <xf numFmtId="0" fontId="4" fillId="0" borderId="0" xfId="0" applyFont="1" applyAlignment="1">
      <alignment horizontal="center" vertical="center"/>
    </xf>
    <xf numFmtId="169" fontId="3" fillId="0" borderId="0" xfId="0" applyNumberFormat="1"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170" fontId="3" fillId="4" borderId="0" xfId="0" applyNumberFormat="1" applyFont="1" applyFill="1"/>
    <xf numFmtId="2" fontId="3" fillId="0" borderId="0" xfId="0" applyNumberFormat="1" applyFont="1"/>
    <xf numFmtId="170" fontId="3" fillId="4" borderId="1" xfId="0" applyNumberFormat="1" applyFont="1" applyFill="1" applyBorder="1"/>
    <xf numFmtId="166" fontId="3" fillId="3" borderId="1" xfId="0" applyNumberFormat="1" applyFont="1" applyFill="1" applyBorder="1"/>
    <xf numFmtId="170" fontId="3" fillId="0" borderId="0" xfId="0" applyNumberFormat="1" applyFont="1"/>
    <xf numFmtId="169" fontId="3" fillId="6" borderId="0" xfId="0" applyNumberFormat="1" applyFont="1" applyFill="1"/>
    <xf numFmtId="166" fontId="3" fillId="3" borderId="2" xfId="0" applyNumberFormat="1" applyFont="1" applyFill="1" applyBorder="1"/>
    <xf numFmtId="3" fontId="3" fillId="0" borderId="0" xfId="0" applyNumberFormat="1" applyFont="1"/>
    <xf numFmtId="166" fontId="3" fillId="6" borderId="0" xfId="1" applyNumberFormat="1" applyFont="1" applyFill="1"/>
    <xf numFmtId="3" fontId="3" fillId="0" borderId="0" xfId="1" applyNumberFormat="1" applyFont="1" applyFill="1"/>
    <xf numFmtId="0" fontId="3" fillId="4" borderId="0" xfId="0" applyFont="1" applyFill="1" applyAlignment="1">
      <alignment horizontal="center" wrapText="1"/>
    </xf>
    <xf numFmtId="0" fontId="3" fillId="5" borderId="0" xfId="0" applyFont="1" applyFill="1" applyAlignment="1">
      <alignment horizontal="center" wrapText="1"/>
    </xf>
    <xf numFmtId="0" fontId="0" fillId="7" borderId="0" xfId="0" applyFill="1" applyAlignment="1">
      <alignment horizontal="center" wrapText="1"/>
    </xf>
    <xf numFmtId="0" fontId="0" fillId="4" borderId="0" xfId="0" applyFill="1" applyAlignment="1">
      <alignment horizontal="center" wrapText="1"/>
    </xf>
    <xf numFmtId="0" fontId="0" fillId="7" borderId="0" xfId="0" applyFill="1"/>
    <xf numFmtId="0" fontId="0" fillId="4" borderId="0" xfId="0" applyFill="1"/>
    <xf numFmtId="0" fontId="0" fillId="7" borderId="1" xfId="0" applyFill="1" applyBorder="1"/>
    <xf numFmtId="0" fontId="0" fillId="4" borderId="1" xfId="0" applyFill="1" applyBorder="1"/>
    <xf numFmtId="165" fontId="5" fillId="3" borderId="1" xfId="0" applyNumberFormat="1" applyFont="1" applyFill="1" applyBorder="1"/>
    <xf numFmtId="0" fontId="3" fillId="0" borderId="0" xfId="0" applyFont="1" applyFill="1"/>
    <xf numFmtId="165" fontId="3" fillId="0" borderId="0" xfId="0" applyNumberFormat="1" applyFont="1" applyFill="1"/>
    <xf numFmtId="43" fontId="3" fillId="0" borderId="0" xfId="0" applyNumberFormat="1" applyFont="1" applyFill="1"/>
    <xf numFmtId="43" fontId="5" fillId="0" borderId="0" xfId="0" applyNumberFormat="1" applyFont="1" applyFill="1"/>
    <xf numFmtId="0" fontId="3" fillId="0" borderId="0" xfId="0" applyFont="1" applyFill="1" applyAlignment="1"/>
    <xf numFmtId="167" fontId="7" fillId="3" borderId="0" xfId="3" applyNumberFormat="1" applyFont="1" applyFill="1"/>
    <xf numFmtId="164" fontId="1" fillId="3" borderId="0" xfId="2" applyNumberFormat="1" applyFill="1"/>
    <xf numFmtId="43" fontId="1" fillId="3" borderId="0" xfId="2" applyNumberFormat="1" applyFill="1"/>
    <xf numFmtId="2" fontId="1" fillId="3" borderId="0" xfId="2" applyNumberFormat="1" applyFill="1"/>
    <xf numFmtId="0" fontId="3" fillId="2" borderId="0" xfId="0" applyFont="1" applyFill="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3" fillId="3" borderId="0" xfId="0" applyFont="1" applyFill="1" applyAlignment="1">
      <alignment horizontal="center"/>
    </xf>
    <xf numFmtId="0" fontId="4" fillId="0" borderId="0" xfId="0" applyFont="1" applyAlignment="1">
      <alignment horizontal="center"/>
    </xf>
  </cellXfs>
  <cellStyles count="4">
    <cellStyle name="Comma" xfId="1" builtinId="3"/>
    <cellStyle name="Comma 2" xfId="3" xr:uid="{62E5301B-D3FF-4304-AD23-E31AAB8ACD56}"/>
    <cellStyle name="Normal" xfId="0" builtinId="0"/>
    <cellStyle name="Normal 2" xfId="2" xr:uid="{07DE15C2-E868-4046-9157-BADE4F924B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609319</xdr:colOff>
      <xdr:row>1</xdr:row>
      <xdr:rowOff>0</xdr:rowOff>
    </xdr:from>
    <xdr:to>
      <xdr:col>12</xdr:col>
      <xdr:colOff>448234</xdr:colOff>
      <xdr:row>23</xdr:row>
      <xdr:rowOff>21010</xdr:rowOff>
    </xdr:to>
    <xdr:sp macro="" textlink="">
      <xdr:nvSpPr>
        <xdr:cNvPr id="2" name="TextBox 1">
          <a:extLst>
            <a:ext uri="{FF2B5EF4-FFF2-40B4-BE49-F238E27FC236}">
              <a16:creationId xmlns:a16="http://schemas.microsoft.com/office/drawing/2014/main" id="{3C7E31E1-086A-4BC9-BD98-F3E6D1AB524B}"/>
            </a:ext>
          </a:extLst>
        </xdr:cNvPr>
        <xdr:cNvSpPr txBox="1"/>
      </xdr:nvSpPr>
      <xdr:spPr>
        <a:xfrm>
          <a:off x="7714969" y="161925"/>
          <a:ext cx="4163265" cy="360241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Complete the Statement of Stockholders' Equity. </a:t>
          </a:r>
        </a:p>
        <a:p>
          <a:r>
            <a:rPr lang="en-US" sz="1000"/>
            <a:t>Perform a common size analysis for 2018 and 2019 and comment on your observations. Highlight areas of concern,</a:t>
          </a:r>
          <a:r>
            <a:rPr lang="en-US" sz="1000" baseline="0"/>
            <a:t> or areas where you feel the firm is making improvements. </a:t>
          </a:r>
          <a:r>
            <a:rPr lang="en-US" sz="1000" b="1" baseline="0"/>
            <a:t>You must comment on at least 5 areas  of concern.</a:t>
          </a:r>
          <a:endParaRPr lang="en-US"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0</xdr:rowOff>
    </xdr:from>
    <xdr:to>
      <xdr:col>12</xdr:col>
      <xdr:colOff>70036</xdr:colOff>
      <xdr:row>9</xdr:row>
      <xdr:rowOff>7004</xdr:rowOff>
    </xdr:to>
    <xdr:sp macro="" textlink="">
      <xdr:nvSpPr>
        <xdr:cNvPr id="2" name="TextBox 1">
          <a:extLst>
            <a:ext uri="{FF2B5EF4-FFF2-40B4-BE49-F238E27FC236}">
              <a16:creationId xmlns:a16="http://schemas.microsoft.com/office/drawing/2014/main" id="{AD2E26B5-53A5-47DA-98EF-73A4145E9086}"/>
            </a:ext>
          </a:extLst>
        </xdr:cNvPr>
        <xdr:cNvSpPr txBox="1"/>
      </xdr:nvSpPr>
      <xdr:spPr>
        <a:xfrm>
          <a:off x="6496050" y="161925"/>
          <a:ext cx="5003986" cy="130240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Analyze Colloseum's</a:t>
          </a:r>
          <a:r>
            <a:rPr lang="en-US" sz="1000" baseline="0"/>
            <a:t> cash flow position.  Show your calculations in the shaded area 'Colloseum Cash Flow Position'</a:t>
          </a:r>
        </a:p>
        <a:p>
          <a:endParaRPr lang="en-US" sz="1000" baseline="0"/>
        </a:p>
        <a:p>
          <a:r>
            <a:rPr lang="en-US" sz="1000" baseline="0"/>
            <a:t>Comment on your findings, focusing on at least two areas that might suggest financial distress or poor management.  Make recommendations as to how management might improve the operations of the firm.</a:t>
          </a:r>
        </a:p>
        <a:p>
          <a:endParaRPr lang="en-US" sz="10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455239</xdr:colOff>
      <xdr:row>10</xdr:row>
      <xdr:rowOff>84044</xdr:rowOff>
    </xdr:to>
    <xdr:sp macro="" textlink="">
      <xdr:nvSpPr>
        <xdr:cNvPr id="2" name="TextBox 1">
          <a:extLst>
            <a:ext uri="{FF2B5EF4-FFF2-40B4-BE49-F238E27FC236}">
              <a16:creationId xmlns:a16="http://schemas.microsoft.com/office/drawing/2014/main" id="{9FE5731E-CF36-4ACF-98EC-EB47E69ABBBC}"/>
            </a:ext>
          </a:extLst>
        </xdr:cNvPr>
        <xdr:cNvSpPr txBox="1"/>
      </xdr:nvSpPr>
      <xdr:spPr>
        <a:xfrm>
          <a:off x="7105650" y="323850"/>
          <a:ext cx="4779589" cy="137944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this problem you are to find the change in NOWC, the free cash flow for 2019 and calculate the Economic Value Added as well as the Market Value Added metrics.  After you have performed the calculations, comment on your</a:t>
          </a:r>
          <a:r>
            <a:rPr lang="en-US" sz="1100" baseline="0"/>
            <a:t> findings. Include in your commentary areas of concern with recommendations for improvements.  Cite at least two areas of concern. Use the textbox provided below.</a:t>
          </a:r>
          <a:endParaRPr lang="en-US" sz="1100"/>
        </a:p>
      </xdr:txBody>
    </xdr:sp>
    <xdr:clientData/>
  </xdr:twoCellAnchor>
  <xdr:twoCellAnchor>
    <xdr:from>
      <xdr:col>8</xdr:col>
      <xdr:colOff>0</xdr:colOff>
      <xdr:row>11</xdr:row>
      <xdr:rowOff>0</xdr:rowOff>
    </xdr:from>
    <xdr:to>
      <xdr:col>10</xdr:col>
      <xdr:colOff>441232</xdr:colOff>
      <xdr:row>13</xdr:row>
      <xdr:rowOff>104775</xdr:rowOff>
    </xdr:to>
    <xdr:sp macro="" textlink="">
      <xdr:nvSpPr>
        <xdr:cNvPr id="3" name="TextBox 2">
          <a:extLst>
            <a:ext uri="{FF2B5EF4-FFF2-40B4-BE49-F238E27FC236}">
              <a16:creationId xmlns:a16="http://schemas.microsoft.com/office/drawing/2014/main" id="{AA7841AC-E1E8-4D1F-B747-DDB66001857B}"/>
            </a:ext>
          </a:extLst>
        </xdr:cNvPr>
        <xdr:cNvSpPr txBox="1"/>
      </xdr:nvSpPr>
      <xdr:spPr>
        <a:xfrm>
          <a:off x="7105650" y="1781175"/>
          <a:ext cx="3546382" cy="428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mn-lt"/>
            </a:rPr>
            <a:t>FCF = [EBIT(1-T)+Dep Amort]-[Capex+</a:t>
          </a:r>
          <a:r>
            <a:rPr lang="en-US" sz="1100">
              <a:latin typeface="+mn-lt"/>
              <a:cs typeface="Arial" panose="020B0604020202020204" pitchFamily="34" charset="0"/>
            </a:rPr>
            <a:t>∆NOWC]</a:t>
          </a:r>
          <a:endParaRPr lang="en-US" sz="1100">
            <a:latin typeface="+mn-lt"/>
          </a:endParaRPr>
        </a:p>
      </xdr:txBody>
    </xdr:sp>
    <xdr:clientData/>
  </xdr:twoCellAnchor>
  <xdr:twoCellAnchor>
    <xdr:from>
      <xdr:col>7</xdr:col>
      <xdr:colOff>595312</xdr:colOff>
      <xdr:row>34</xdr:row>
      <xdr:rowOff>126066</xdr:rowOff>
    </xdr:from>
    <xdr:to>
      <xdr:col>11</xdr:col>
      <xdr:colOff>217114</xdr:colOff>
      <xdr:row>40</xdr:row>
      <xdr:rowOff>70037</xdr:rowOff>
    </xdr:to>
    <xdr:sp macro="" textlink="">
      <xdr:nvSpPr>
        <xdr:cNvPr id="4" name="TextBox 3">
          <a:extLst>
            <a:ext uri="{FF2B5EF4-FFF2-40B4-BE49-F238E27FC236}">
              <a16:creationId xmlns:a16="http://schemas.microsoft.com/office/drawing/2014/main" id="{6C99FA9B-4EBC-4B07-8790-441C51E799C2}"/>
            </a:ext>
          </a:extLst>
        </xdr:cNvPr>
        <xdr:cNvSpPr txBox="1"/>
      </xdr:nvSpPr>
      <xdr:spPr>
        <a:xfrm>
          <a:off x="7091362" y="5888691"/>
          <a:ext cx="3946152" cy="915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Observation 1</a:t>
          </a:r>
        </a:p>
        <a:p>
          <a:endParaRPr lang="en-US" sz="1100"/>
        </a:p>
        <a:p>
          <a:endParaRPr lang="en-US" sz="1100"/>
        </a:p>
        <a:p>
          <a:r>
            <a:rPr lang="en-US" sz="1100"/>
            <a:t>Observation 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9525</xdr:colOff>
      <xdr:row>2</xdr:row>
      <xdr:rowOff>152400</xdr:rowOff>
    </xdr:from>
    <xdr:to>
      <xdr:col>17</xdr:col>
      <xdr:colOff>123825</xdr:colOff>
      <xdr:row>27</xdr:row>
      <xdr:rowOff>114300</xdr:rowOff>
    </xdr:to>
    <xdr:sp macro="" textlink="">
      <xdr:nvSpPr>
        <xdr:cNvPr id="2" name="TextBox 1">
          <a:extLst>
            <a:ext uri="{FF2B5EF4-FFF2-40B4-BE49-F238E27FC236}">
              <a16:creationId xmlns:a16="http://schemas.microsoft.com/office/drawing/2014/main" id="{7197F9C8-5C30-434E-A238-EA39DBA1F71E}"/>
            </a:ext>
          </a:extLst>
        </xdr:cNvPr>
        <xdr:cNvSpPr txBox="1"/>
      </xdr:nvSpPr>
      <xdr:spPr>
        <a:xfrm>
          <a:off x="10677525" y="533400"/>
          <a:ext cx="4381500" cy="47244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Colloseum Corporation is considering new testing equipment for its customer service lab.  By performing tests on customers' materials, they are able to provide more focused recommendation</a:t>
          </a:r>
          <a:r>
            <a:rPr lang="en-US" sz="1100" baseline="0"/>
            <a:t> for better product design.  Because of the complex nature of the testing, customers are prepared to pay for these tests.</a:t>
          </a:r>
        </a:p>
        <a:p>
          <a:r>
            <a:rPr lang="en-US" sz="1100" baseline="0"/>
            <a:t>Colloseum is considering the purchase as outlined in the given information to the left.  </a:t>
          </a:r>
          <a:r>
            <a:rPr lang="en-US" sz="1100" b="1" baseline="0"/>
            <a:t>They will take advantage of the Bonus Depreciation opportunity.</a:t>
          </a:r>
        </a:p>
        <a:p>
          <a:r>
            <a:rPr lang="en-US" sz="1100" baseline="0"/>
            <a:t>Help them determine the advisability of the purchase by performing a capital budget analysis that will provide the metrics outlined in the worksheet.</a:t>
          </a:r>
        </a:p>
        <a:p>
          <a:endParaRPr lang="en-US" sz="1100" baseline="0"/>
        </a:p>
        <a:p>
          <a:r>
            <a:rPr lang="en-US" sz="1100" baseline="0"/>
            <a:t>In addition, help Colloseum with their uncertainty about whether to take on this project.  They have been told that there is a 30% chance that the will be low demand for their tests, lowering their revenues to only 400,000 per year.  They believe that the chance of normal conditions, where they would achieve the given 650,000 revenues, is 50%.  They are hopeful that, if the economy gains strength, they will be able to achieve 725,000 in revenues. They estimate that there is a 20% chance of a stronger economy.</a:t>
          </a:r>
        </a:p>
        <a:p>
          <a:endParaRPr lang="en-US" sz="1100" baseline="0"/>
        </a:p>
        <a:p>
          <a:r>
            <a:rPr lang="en-US" sz="1100" baseline="0"/>
            <a:t>They are worried about risk, and do not take on projects with a CV higher than .75.  Construct and perform a CV analysis and make your recommendations based on this calculated metric.</a:t>
          </a:r>
        </a:p>
        <a:p>
          <a:endParaRPr lang="en-US" sz="1100" baseline="0"/>
        </a:p>
      </xdr:txBody>
    </xdr:sp>
    <xdr:clientData/>
  </xdr:twoCellAnchor>
  <xdr:twoCellAnchor>
    <xdr:from>
      <xdr:col>10</xdr:col>
      <xdr:colOff>0</xdr:colOff>
      <xdr:row>30</xdr:row>
      <xdr:rowOff>0</xdr:rowOff>
    </xdr:from>
    <xdr:to>
      <xdr:col>15</xdr:col>
      <xdr:colOff>514350</xdr:colOff>
      <xdr:row>44</xdr:row>
      <xdr:rowOff>76200</xdr:rowOff>
    </xdr:to>
    <xdr:sp macro="" textlink="">
      <xdr:nvSpPr>
        <xdr:cNvPr id="3" name="TextBox 2">
          <a:extLst>
            <a:ext uri="{FF2B5EF4-FFF2-40B4-BE49-F238E27FC236}">
              <a16:creationId xmlns:a16="http://schemas.microsoft.com/office/drawing/2014/main" id="{E0156F2A-EAB6-41ED-A05C-A8027D28F889}"/>
            </a:ext>
          </a:extLst>
        </xdr:cNvPr>
        <xdr:cNvSpPr txBox="1"/>
      </xdr:nvSpPr>
      <xdr:spPr>
        <a:xfrm>
          <a:off x="10668000" y="5715000"/>
          <a:ext cx="3562350" cy="27622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Recommendations:</a:t>
          </a:r>
        </a:p>
        <a:p>
          <a:endParaRPr lang="en-US" sz="1100"/>
        </a:p>
        <a:p>
          <a:endParaRPr lang="en-US" sz="1100"/>
        </a:p>
        <a:p>
          <a:endParaRPr lang="en-US" sz="1100"/>
        </a:p>
        <a:p>
          <a:endParaRPr lang="en-US" sz="1100"/>
        </a:p>
        <a:p>
          <a:endParaRPr lang="en-US" sz="1100"/>
        </a:p>
        <a:p>
          <a:endParaRPr lang="en-US" sz="1100"/>
        </a:p>
        <a:p>
          <a:endParaRPr lang="en-US" sz="1100"/>
        </a:p>
        <a:p>
          <a:r>
            <a:rPr lang="en-US" sz="1100"/>
            <a:t>Analysis of CV metric: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12</xdr:col>
      <xdr:colOff>924485</xdr:colOff>
      <xdr:row>15</xdr:row>
      <xdr:rowOff>133070</xdr:rowOff>
    </xdr:to>
    <xdr:sp macro="" textlink="">
      <xdr:nvSpPr>
        <xdr:cNvPr id="2" name="TextBox 1">
          <a:extLst>
            <a:ext uri="{FF2B5EF4-FFF2-40B4-BE49-F238E27FC236}">
              <a16:creationId xmlns:a16="http://schemas.microsoft.com/office/drawing/2014/main" id="{443BA397-10AF-4EBF-B0D3-057DF1CE9999}"/>
            </a:ext>
          </a:extLst>
        </xdr:cNvPr>
        <xdr:cNvSpPr txBox="1"/>
      </xdr:nvSpPr>
      <xdr:spPr>
        <a:xfrm>
          <a:off x="4772025" y="161925"/>
          <a:ext cx="4705910" cy="24000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Calculate the pro forma financial statements for Colloseum</a:t>
          </a:r>
          <a:r>
            <a:rPr lang="en-US" sz="1100" baseline="0"/>
            <a:t> Corporation, using the given information.  Use the percent of sales method.</a:t>
          </a:r>
        </a:p>
        <a:p>
          <a:r>
            <a:rPr lang="en-US" sz="1100" baseline="0"/>
            <a:t>The financial ratios for 2019 are given.  The 2020 financial ratios will auto-fill.</a:t>
          </a:r>
        </a:p>
        <a:p>
          <a:endParaRPr lang="en-US" sz="1100" baseline="0"/>
        </a:p>
        <a:p>
          <a:r>
            <a:rPr lang="en-US" sz="1100" baseline="0"/>
            <a:t>Evaluate and omment upon each category: SHOULD THE FIRM GO AHEAD WITH THE PLANNED GROWTH?  WHY OR WHY NOT?</a:t>
          </a:r>
        </a:p>
        <a:p>
          <a:endParaRPr lang="en-US" sz="1100" baseline="0"/>
        </a:p>
        <a:p>
          <a:endParaRPr lang="en-US" sz="1100" baseline="0"/>
        </a:p>
        <a:p>
          <a:r>
            <a:rPr lang="en-US" sz="1100" baseline="0"/>
            <a:t>After you have evaluated the ratios and made your recommendation, find the maximum growth possible if the firm wants to keep external financing to not more than $45 million. You made do so by cloning your forecast sheet.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2F88-B45D-426E-9D4A-76B50CAD6F02}">
  <sheetPr>
    <pageSetUpPr fitToPage="1"/>
  </sheetPr>
  <dimension ref="A2:P73"/>
  <sheetViews>
    <sheetView topLeftCell="C28" zoomScale="136" zoomScaleNormal="136" workbookViewId="0">
      <selection activeCell="H7" sqref="H7"/>
    </sheetView>
  </sheetViews>
  <sheetFormatPr baseColWidth="10" defaultColWidth="9.1640625" defaultRowHeight="14" x14ac:dyDescent="0.2"/>
  <cols>
    <col min="1" max="2" width="9.1640625" style="1"/>
    <col min="3" max="3" width="36.83203125" style="1" customWidth="1"/>
    <col min="4" max="4" width="10.1640625" style="1" customWidth="1"/>
    <col min="5" max="6" width="9.83203125" style="1" customWidth="1"/>
    <col min="7" max="7" width="12.5" style="1" bestFit="1" customWidth="1"/>
    <col min="8" max="9" width="9.1640625" style="1"/>
    <col min="10" max="10" width="34.5" style="1" customWidth="1"/>
    <col min="11" max="11" width="12.1640625" style="1" bestFit="1" customWidth="1"/>
    <col min="12" max="14" width="9.1640625" style="1"/>
    <col min="15" max="15" width="12.5" style="1" bestFit="1" customWidth="1"/>
    <col min="16" max="16384" width="9.16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6" t="s">
        <v>8</v>
      </c>
      <c r="D12" s="126"/>
      <c r="E12" s="126"/>
      <c r="F12" s="5"/>
      <c r="J12" s="126"/>
      <c r="K12" s="126"/>
      <c r="L12" s="126"/>
      <c r="M12" s="126"/>
    </row>
    <row r="13" spans="3:13" x14ac:dyDescent="0.2">
      <c r="C13" s="127" t="s">
        <v>9</v>
      </c>
      <c r="D13" s="127"/>
      <c r="E13" s="127"/>
      <c r="F13" s="6"/>
    </row>
    <row r="15" spans="3:13" x14ac:dyDescent="0.2">
      <c r="C15" s="7"/>
      <c r="D15" s="8"/>
      <c r="E15" s="8">
        <v>2019</v>
      </c>
      <c r="F15" s="8">
        <v>2018</v>
      </c>
      <c r="G15" s="9"/>
      <c r="H15" s="9"/>
    </row>
    <row r="16" spans="3:13" x14ac:dyDescent="0.2">
      <c r="C16" s="2" t="s">
        <v>10</v>
      </c>
      <c r="D16" s="2"/>
      <c r="E16" s="10">
        <v>95.9</v>
      </c>
      <c r="F16" s="11">
        <v>69</v>
      </c>
      <c r="G16" s="12"/>
      <c r="H16" s="12"/>
      <c r="J16" s="13"/>
      <c r="K16" s="14"/>
      <c r="L16" s="15"/>
      <c r="M16" s="15"/>
    </row>
    <row r="17" spans="1:16" x14ac:dyDescent="0.2">
      <c r="A17" s="16"/>
      <c r="B17" s="16"/>
      <c r="C17" s="2" t="s">
        <v>11</v>
      </c>
      <c r="D17" s="2"/>
      <c r="E17" s="10">
        <v>487.9</v>
      </c>
      <c r="F17" s="11">
        <v>439</v>
      </c>
      <c r="G17" s="12"/>
      <c r="H17" s="12"/>
      <c r="J17" s="13"/>
      <c r="K17" s="14"/>
      <c r="L17" s="15"/>
      <c r="M17" s="15"/>
    </row>
    <row r="18" spans="1:16" x14ac:dyDescent="0.2">
      <c r="C18" s="2" t="s">
        <v>12</v>
      </c>
      <c r="D18" s="2"/>
      <c r="E18" s="17">
        <v>386.4</v>
      </c>
      <c r="F18" s="18">
        <v>351</v>
      </c>
      <c r="G18" s="12"/>
      <c r="H18" s="12"/>
      <c r="J18" s="13"/>
      <c r="K18" s="14"/>
      <c r="L18" s="19"/>
      <c r="M18" s="20"/>
    </row>
    <row r="19" spans="1:16" x14ac:dyDescent="0.2">
      <c r="C19" s="21" t="s">
        <v>13</v>
      </c>
      <c r="D19" s="2"/>
      <c r="E19" s="10">
        <f>SUM(E16:E18)</f>
        <v>970.19999999999993</v>
      </c>
      <c r="F19" s="11">
        <f>SUM(F16:F18)</f>
        <v>859</v>
      </c>
      <c r="G19" s="12"/>
      <c r="H19" s="12"/>
      <c r="J19" s="13"/>
      <c r="L19" s="19"/>
      <c r="M19" s="20"/>
    </row>
    <row r="20" spans="1:16" x14ac:dyDescent="0.2">
      <c r="C20" s="2" t="s">
        <v>14</v>
      </c>
      <c r="D20" s="2"/>
      <c r="E20" s="17">
        <v>962.5</v>
      </c>
      <c r="F20" s="18">
        <v>895</v>
      </c>
      <c r="G20" s="12"/>
      <c r="H20" s="12"/>
      <c r="J20" s="13"/>
      <c r="L20" s="22"/>
      <c r="M20" s="20"/>
    </row>
    <row r="21" spans="1:16" ht="15" thickBot="1" x14ac:dyDescent="0.25">
      <c r="C21" s="2" t="s">
        <v>15</v>
      </c>
      <c r="D21" s="2"/>
      <c r="E21" s="23">
        <f>SUM(E19:E20)</f>
        <v>1932.6999999999998</v>
      </c>
      <c r="F21" s="24">
        <f>SUM(F19:F20)</f>
        <v>1754</v>
      </c>
      <c r="G21" s="12"/>
      <c r="H21" s="12"/>
      <c r="J21" s="13"/>
      <c r="M21" s="15"/>
    </row>
    <row r="22" spans="1:16" ht="15" thickTop="1" x14ac:dyDescent="0.2">
      <c r="C22" s="2"/>
      <c r="D22" s="2"/>
      <c r="E22" s="10"/>
      <c r="F22" s="11"/>
      <c r="G22" s="12"/>
      <c r="H22" s="12"/>
      <c r="J22" s="25"/>
      <c r="K22" s="14"/>
      <c r="L22" s="15"/>
      <c r="M22" s="15"/>
    </row>
    <row r="23" spans="1:16" x14ac:dyDescent="0.2">
      <c r="C23" s="2" t="s">
        <v>16</v>
      </c>
      <c r="D23" s="2"/>
      <c r="E23" s="10">
        <v>289.39999999999998</v>
      </c>
      <c r="F23" s="11">
        <v>263</v>
      </c>
      <c r="G23" s="12"/>
      <c r="H23" s="12"/>
      <c r="J23" s="26"/>
      <c r="L23" s="14"/>
    </row>
    <row r="24" spans="1:16" x14ac:dyDescent="0.2">
      <c r="C24" s="2" t="s">
        <v>17</v>
      </c>
      <c r="D24" s="2"/>
      <c r="E24" s="10">
        <v>21.78</v>
      </c>
      <c r="F24" s="11">
        <v>21</v>
      </c>
      <c r="G24" s="12"/>
      <c r="H24" s="12"/>
      <c r="J24" s="26"/>
    </row>
    <row r="25" spans="1:16" ht="17" x14ac:dyDescent="0.35">
      <c r="C25" s="2" t="s">
        <v>18</v>
      </c>
      <c r="D25" s="2"/>
      <c r="E25" s="17">
        <v>32</v>
      </c>
      <c r="F25" s="18">
        <v>32</v>
      </c>
      <c r="G25" s="12"/>
      <c r="H25" s="12"/>
      <c r="J25" s="13"/>
      <c r="L25" s="27"/>
      <c r="P25" s="28"/>
    </row>
    <row r="26" spans="1:16" ht="17" x14ac:dyDescent="0.35">
      <c r="C26" s="21" t="s">
        <v>19</v>
      </c>
      <c r="D26" s="2"/>
      <c r="E26" s="10">
        <f>SUM(E23:E25)</f>
        <v>343.17999999999995</v>
      </c>
      <c r="F26" s="11">
        <f>SUM(F23:F25)</f>
        <v>316</v>
      </c>
      <c r="G26" s="12"/>
      <c r="H26" s="12"/>
      <c r="J26" s="25"/>
      <c r="K26" s="14"/>
      <c r="L26" s="15"/>
      <c r="P26" s="27"/>
    </row>
    <row r="27" spans="1:16" x14ac:dyDescent="0.2">
      <c r="C27" s="2" t="s">
        <v>20</v>
      </c>
      <c r="D27" s="2"/>
      <c r="E27" s="10">
        <v>451.3</v>
      </c>
      <c r="F27" s="11">
        <v>379</v>
      </c>
      <c r="G27" s="12"/>
      <c r="H27" s="12"/>
      <c r="J27" s="13"/>
      <c r="K27" s="14"/>
      <c r="P27" s="28"/>
    </row>
    <row r="28" spans="1:16" ht="33" x14ac:dyDescent="0.35">
      <c r="C28" s="2" t="s">
        <v>21</v>
      </c>
      <c r="D28" s="2"/>
      <c r="E28" s="17">
        <v>70</v>
      </c>
      <c r="F28" s="18">
        <v>70</v>
      </c>
      <c r="G28" s="12"/>
      <c r="H28" s="12"/>
      <c r="K28" s="29" t="s">
        <v>22</v>
      </c>
      <c r="L28" s="30" t="s">
        <v>23</v>
      </c>
      <c r="P28" s="27"/>
    </row>
    <row r="29" spans="1:16" x14ac:dyDescent="0.2">
      <c r="C29" s="2" t="s">
        <v>24</v>
      </c>
      <c r="D29" s="2"/>
      <c r="E29" s="10">
        <f>SUM(E26:E28)</f>
        <v>864.48</v>
      </c>
      <c r="F29" s="11">
        <f>SUM(F26:F28)</f>
        <v>765</v>
      </c>
      <c r="G29" s="12"/>
      <c r="H29" s="12"/>
      <c r="K29" s="31"/>
      <c r="L29" s="32"/>
      <c r="M29" s="20"/>
      <c r="P29" s="28"/>
    </row>
    <row r="30" spans="1:16" x14ac:dyDescent="0.2">
      <c r="C30" s="2" t="s">
        <v>25</v>
      </c>
      <c r="D30" s="2"/>
      <c r="E30" s="10">
        <v>300</v>
      </c>
      <c r="F30" s="11">
        <v>300</v>
      </c>
      <c r="G30" s="12"/>
      <c r="H30" s="12"/>
      <c r="J30" s="1" t="s">
        <v>26</v>
      </c>
      <c r="K30" s="31">
        <v>5</v>
      </c>
      <c r="L30" s="32">
        <v>5</v>
      </c>
      <c r="M30" s="20"/>
    </row>
    <row r="31" spans="1:16" ht="17" x14ac:dyDescent="0.35">
      <c r="C31" s="2" t="s">
        <v>27</v>
      </c>
      <c r="D31" s="2"/>
      <c r="E31" s="17">
        <f>F31+E53</f>
        <v>768.17083599999978</v>
      </c>
      <c r="F31" s="18">
        <v>689</v>
      </c>
      <c r="G31" s="12"/>
      <c r="H31" s="12"/>
      <c r="J31" s="1" t="s">
        <v>28</v>
      </c>
      <c r="K31" s="31">
        <v>5</v>
      </c>
      <c r="L31" s="32">
        <v>5</v>
      </c>
      <c r="M31" s="33"/>
    </row>
    <row r="32" spans="1:16" ht="15" thickBot="1" x14ac:dyDescent="0.25">
      <c r="C32" s="2" t="s">
        <v>29</v>
      </c>
      <c r="D32" s="2"/>
      <c r="E32" s="23">
        <f>SUM(E29:E31)</f>
        <v>1932.6508359999998</v>
      </c>
      <c r="F32" s="24">
        <f>SUM(F29:F31)</f>
        <v>1754</v>
      </c>
      <c r="G32" s="12"/>
      <c r="H32" s="12"/>
      <c r="I32" s="34"/>
      <c r="J32" s="1" t="s">
        <v>30</v>
      </c>
      <c r="K32" s="31">
        <v>3</v>
      </c>
      <c r="L32" s="32">
        <v>3</v>
      </c>
      <c r="M32" s="20"/>
    </row>
    <row r="33" spans="3:13" ht="15" thickTop="1" x14ac:dyDescent="0.2">
      <c r="J33" s="1" t="s">
        <v>31</v>
      </c>
      <c r="K33" s="31">
        <v>3</v>
      </c>
      <c r="L33" s="32">
        <v>3</v>
      </c>
      <c r="M33" s="15"/>
    </row>
    <row r="34" spans="3:13" x14ac:dyDescent="0.2">
      <c r="E34" s="20"/>
      <c r="F34" s="20"/>
      <c r="G34" s="20"/>
      <c r="J34" s="1" t="s">
        <v>32</v>
      </c>
      <c r="K34" s="31">
        <v>3</v>
      </c>
      <c r="L34" s="32">
        <v>3</v>
      </c>
    </row>
    <row r="35" spans="3:13" x14ac:dyDescent="0.2">
      <c r="C35" s="126" t="s">
        <v>8</v>
      </c>
      <c r="D35" s="126"/>
      <c r="E35" s="126"/>
      <c r="F35" s="5"/>
      <c r="J35" s="1" t="s">
        <v>33</v>
      </c>
      <c r="K35" s="31">
        <v>3</v>
      </c>
      <c r="L35" s="32">
        <v>3</v>
      </c>
      <c r="M35" s="20"/>
    </row>
    <row r="36" spans="3:13" x14ac:dyDescent="0.2">
      <c r="C36" s="126" t="s">
        <v>34</v>
      </c>
      <c r="D36" s="126"/>
      <c r="E36" s="126"/>
      <c r="F36" s="5"/>
      <c r="J36" s="1" t="s">
        <v>35</v>
      </c>
      <c r="K36" s="35">
        <v>3</v>
      </c>
      <c r="L36" s="36">
        <v>3</v>
      </c>
      <c r="M36" s="28"/>
    </row>
    <row r="37" spans="3:13" x14ac:dyDescent="0.2">
      <c r="K37" s="31">
        <f>SUM(K30:K36)</f>
        <v>25</v>
      </c>
      <c r="L37" s="32">
        <f>SUM(L30:L36)</f>
        <v>25</v>
      </c>
      <c r="M37" s="20"/>
    </row>
    <row r="38" spans="3:13" x14ac:dyDescent="0.2">
      <c r="C38" s="2"/>
      <c r="D38" s="2"/>
      <c r="E38" s="37">
        <v>2019</v>
      </c>
      <c r="F38" s="37">
        <v>2018</v>
      </c>
      <c r="G38" s="9">
        <v>2019</v>
      </c>
      <c r="H38" s="9">
        <v>2018</v>
      </c>
    </row>
    <row r="39" spans="3:13" x14ac:dyDescent="0.2">
      <c r="C39" s="2"/>
      <c r="D39" s="2"/>
      <c r="E39" s="2"/>
      <c r="F39" s="2"/>
      <c r="G39" s="9"/>
      <c r="H39" s="9"/>
      <c r="L39" s="38"/>
      <c r="M39" s="38"/>
    </row>
    <row r="40" spans="3:13" x14ac:dyDescent="0.2">
      <c r="C40" s="2" t="s">
        <v>36</v>
      </c>
      <c r="D40" s="2"/>
      <c r="E40" s="10">
        <v>2190.1</v>
      </c>
      <c r="F40" s="11">
        <v>1991</v>
      </c>
      <c r="G40" s="39"/>
      <c r="H40" s="39"/>
    </row>
    <row r="41" spans="3:13" x14ac:dyDescent="0.2">
      <c r="C41" s="2" t="s">
        <v>37</v>
      </c>
      <c r="D41" s="2"/>
      <c r="E41" s="10">
        <v>1467.4</v>
      </c>
      <c r="F41" s="11">
        <v>1334</v>
      </c>
      <c r="G41" s="39"/>
      <c r="H41" s="39"/>
    </row>
    <row r="42" spans="3:13" x14ac:dyDescent="0.2">
      <c r="C42" s="2" t="s">
        <v>38</v>
      </c>
      <c r="D42" s="2"/>
      <c r="E42" s="10">
        <v>328.9</v>
      </c>
      <c r="F42" s="11">
        <v>299</v>
      </c>
      <c r="G42" s="39"/>
      <c r="H42" s="39"/>
    </row>
    <row r="43" spans="3:13" x14ac:dyDescent="0.2">
      <c r="C43" s="2" t="s">
        <v>39</v>
      </c>
      <c r="D43" s="2"/>
      <c r="E43" s="10">
        <v>130.9</v>
      </c>
      <c r="F43" s="11">
        <v>119</v>
      </c>
      <c r="G43" s="39"/>
      <c r="H43" s="39"/>
    </row>
    <row r="44" spans="3:13" x14ac:dyDescent="0.2">
      <c r="C44" s="2" t="s">
        <v>40</v>
      </c>
      <c r="D44" s="2"/>
      <c r="E44" s="17">
        <v>88</v>
      </c>
      <c r="F44" s="18">
        <v>80</v>
      </c>
      <c r="G44" s="39"/>
      <c r="H44" s="39"/>
    </row>
    <row r="45" spans="3:13" x14ac:dyDescent="0.2">
      <c r="C45" s="2" t="s">
        <v>41</v>
      </c>
      <c r="D45" s="2"/>
      <c r="E45" s="40">
        <f>SUM(E41:E44)</f>
        <v>2015.2000000000003</v>
      </c>
      <c r="F45" s="18">
        <f>SUM(F41:F44)</f>
        <v>1832</v>
      </c>
      <c r="G45" s="39"/>
      <c r="H45" s="39"/>
    </row>
    <row r="46" spans="3:13" x14ac:dyDescent="0.2">
      <c r="C46" s="2" t="s">
        <v>42</v>
      </c>
      <c r="D46" s="2"/>
      <c r="E46" s="10">
        <f>E40-E45</f>
        <v>174.89999999999964</v>
      </c>
      <c r="F46" s="11">
        <f>F40-F45</f>
        <v>159</v>
      </c>
      <c r="G46" s="39"/>
      <c r="H46" s="39"/>
    </row>
    <row r="47" spans="3:13" x14ac:dyDescent="0.2">
      <c r="C47" s="2" t="s">
        <v>43</v>
      </c>
      <c r="D47" s="2"/>
      <c r="E47" s="17">
        <f>E8*(E27+E24)</f>
        <v>47.308000000000007</v>
      </c>
      <c r="F47" s="18">
        <f>F8*(F24+F27)</f>
        <v>40</v>
      </c>
      <c r="G47" s="39"/>
      <c r="H47" s="39"/>
    </row>
    <row r="48" spans="3:13" x14ac:dyDescent="0.2">
      <c r="C48" s="2" t="s">
        <v>44</v>
      </c>
      <c r="D48" s="2"/>
      <c r="E48" s="10">
        <f>E46-E47</f>
        <v>127.59199999999963</v>
      </c>
      <c r="F48" s="11">
        <f>F46-F47</f>
        <v>119</v>
      </c>
      <c r="G48" s="39"/>
      <c r="H48" s="39"/>
    </row>
    <row r="49" spans="3:8" x14ac:dyDescent="0.2">
      <c r="C49" s="2" t="s">
        <v>45</v>
      </c>
      <c r="D49" s="2"/>
      <c r="E49" s="17">
        <f>E48*E5</f>
        <v>34.449839999999902</v>
      </c>
      <c r="F49" s="18">
        <f>F48*F5</f>
        <v>32.130000000000003</v>
      </c>
      <c r="G49" s="39"/>
      <c r="H49" s="39"/>
    </row>
    <row r="50" spans="3:8" ht="15" thickBot="1" x14ac:dyDescent="0.25">
      <c r="C50" s="2" t="s">
        <v>46</v>
      </c>
      <c r="D50" s="2"/>
      <c r="E50" s="23">
        <f>E48-E49</f>
        <v>93.142159999999734</v>
      </c>
      <c r="F50" s="24">
        <f>F48-F49</f>
        <v>86.87</v>
      </c>
      <c r="G50" s="39"/>
      <c r="H50" s="39"/>
    </row>
    <row r="51" spans="3:8" ht="15" thickTop="1" x14ac:dyDescent="0.2">
      <c r="C51" s="2"/>
      <c r="D51" s="2"/>
      <c r="E51" s="10"/>
      <c r="F51" s="11"/>
    </row>
    <row r="52" spans="3:8" x14ac:dyDescent="0.2">
      <c r="C52" s="2" t="s">
        <v>47</v>
      </c>
      <c r="D52" s="2"/>
      <c r="E52" s="10">
        <f>E50*E7</f>
        <v>13.97132399999996</v>
      </c>
      <c r="F52" s="11">
        <f>F7*F50</f>
        <v>13.0305</v>
      </c>
    </row>
    <row r="53" spans="3:8" x14ac:dyDescent="0.2">
      <c r="C53" s="2" t="s">
        <v>48</v>
      </c>
      <c r="D53" s="2"/>
      <c r="E53" s="10">
        <f>E50-E52</f>
        <v>79.170835999999781</v>
      </c>
      <c r="F53" s="11">
        <f>F50-F52</f>
        <v>73.839500000000001</v>
      </c>
      <c r="G53" s="20"/>
    </row>
    <row r="54" spans="3:8" x14ac:dyDescent="0.2">
      <c r="E54" s="20"/>
      <c r="G54" s="20"/>
    </row>
    <row r="55" spans="3:8" x14ac:dyDescent="0.2">
      <c r="G55" s="20"/>
    </row>
    <row r="56" spans="3:8" x14ac:dyDescent="0.2">
      <c r="C56" s="1" t="s">
        <v>7</v>
      </c>
      <c r="G56" s="20"/>
    </row>
    <row r="57" spans="3:8" x14ac:dyDescent="0.2">
      <c r="C57" s="1" t="s">
        <v>6</v>
      </c>
      <c r="G57" s="20"/>
    </row>
    <row r="58" spans="3:8" x14ac:dyDescent="0.2">
      <c r="G58" s="20"/>
    </row>
    <row r="59" spans="3:8" x14ac:dyDescent="0.2">
      <c r="C59" s="126" t="s">
        <v>8</v>
      </c>
      <c r="D59" s="126"/>
      <c r="E59" s="126"/>
      <c r="F59" s="126"/>
      <c r="G59" s="20"/>
    </row>
    <row r="60" spans="3:8" x14ac:dyDescent="0.2">
      <c r="G60" s="34"/>
    </row>
    <row r="61" spans="3:8" x14ac:dyDescent="0.2">
      <c r="C61" s="125" t="s">
        <v>49</v>
      </c>
      <c r="D61" s="125"/>
      <c r="E61" s="125"/>
      <c r="F61" s="37"/>
      <c r="G61" s="41"/>
    </row>
    <row r="62" spans="3:8" x14ac:dyDescent="0.2">
      <c r="C62" s="2"/>
      <c r="D62" s="2"/>
      <c r="E62" s="2"/>
      <c r="F62" s="2"/>
      <c r="G62" s="2"/>
    </row>
    <row r="63" spans="3:8" s="38" customFormat="1" ht="45" x14ac:dyDescent="0.2">
      <c r="C63" s="42"/>
      <c r="D63" s="43" t="s">
        <v>50</v>
      </c>
      <c r="E63" s="43" t="s">
        <v>51</v>
      </c>
      <c r="F63" s="43" t="s">
        <v>52</v>
      </c>
      <c r="G63" s="44" t="s">
        <v>53</v>
      </c>
    </row>
    <row r="64" spans="3:8" x14ac:dyDescent="0.2">
      <c r="C64" s="2" t="s">
        <v>54</v>
      </c>
      <c r="D64" s="9"/>
      <c r="E64" s="45"/>
      <c r="F64" s="46"/>
      <c r="G64" s="46"/>
    </row>
    <row r="65" spans="3:7" x14ac:dyDescent="0.2">
      <c r="C65" s="2" t="s">
        <v>55</v>
      </c>
      <c r="D65" s="9"/>
      <c r="E65" s="9"/>
      <c r="F65" s="46"/>
      <c r="G65" s="9"/>
    </row>
    <row r="66" spans="3:7" x14ac:dyDescent="0.2">
      <c r="C66" s="2" t="s">
        <v>56</v>
      </c>
      <c r="D66" s="9"/>
      <c r="E66" s="9"/>
      <c r="F66" s="46"/>
      <c r="G66" s="9"/>
    </row>
    <row r="67" spans="3:7" x14ac:dyDescent="0.2">
      <c r="C67" s="2" t="s">
        <v>57</v>
      </c>
      <c r="D67" s="47"/>
      <c r="E67" s="47"/>
      <c r="F67" s="48"/>
      <c r="G67" s="49"/>
    </row>
    <row r="68" spans="3:7" x14ac:dyDescent="0.2">
      <c r="C68" s="2" t="s">
        <v>58</v>
      </c>
      <c r="D68" s="9"/>
      <c r="E68" s="45"/>
      <c r="F68" s="46"/>
      <c r="G68" s="50"/>
    </row>
    <row r="69" spans="3:7" x14ac:dyDescent="0.2">
      <c r="G69" s="34"/>
    </row>
    <row r="70" spans="3:7" x14ac:dyDescent="0.2">
      <c r="G70" s="34"/>
    </row>
    <row r="71" spans="3:7" x14ac:dyDescent="0.2">
      <c r="G71" s="34"/>
    </row>
    <row r="73" spans="3:7" x14ac:dyDescent="0.2">
      <c r="G73" s="34"/>
    </row>
  </sheetData>
  <mergeCells count="7">
    <mergeCell ref="C61:E61"/>
    <mergeCell ref="C12:E12"/>
    <mergeCell ref="J12:M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6F5C1-3967-4132-B3B1-59C75201FF9C}">
  <sheetPr>
    <pageSetUpPr fitToPage="1"/>
  </sheetPr>
  <dimension ref="A2:P73"/>
  <sheetViews>
    <sheetView topLeftCell="C46" zoomScale="136" zoomScaleNormal="136" workbookViewId="0">
      <selection activeCell="J49" sqref="J49"/>
    </sheetView>
  </sheetViews>
  <sheetFormatPr baseColWidth="10" defaultColWidth="9.1640625" defaultRowHeight="14" x14ac:dyDescent="0.2"/>
  <cols>
    <col min="1" max="2" width="9.1640625" style="1"/>
    <col min="3" max="3" width="36.83203125" style="1" customWidth="1"/>
    <col min="4" max="4" width="10.1640625" style="1" customWidth="1"/>
    <col min="5" max="6" width="9.83203125" style="1" customWidth="1"/>
    <col min="7" max="7" width="12.5" style="1" bestFit="1" customWidth="1"/>
    <col min="8" max="9" width="9.1640625" style="1"/>
    <col min="10" max="10" width="34.5" style="1" customWidth="1"/>
    <col min="11" max="11" width="12.1640625" style="1" bestFit="1" customWidth="1"/>
    <col min="12" max="14" width="9.1640625" style="1"/>
    <col min="15" max="15" width="12.5" style="1" bestFit="1" customWidth="1"/>
    <col min="16" max="16384" width="9.16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6" t="s">
        <v>8</v>
      </c>
      <c r="D12" s="126"/>
      <c r="E12" s="126"/>
      <c r="F12" s="5"/>
      <c r="J12" s="128" t="s">
        <v>59</v>
      </c>
      <c r="K12" s="128"/>
      <c r="L12" s="128"/>
      <c r="M12" s="120"/>
    </row>
    <row r="13" spans="3:13" x14ac:dyDescent="0.2">
      <c r="C13" s="127" t="s">
        <v>9</v>
      </c>
      <c r="D13" s="127"/>
      <c r="E13" s="127"/>
      <c r="F13" s="6"/>
      <c r="J13" s="9"/>
      <c r="K13" s="9"/>
      <c r="L13" s="9"/>
      <c r="M13" s="116"/>
    </row>
    <row r="14" spans="3:13" x14ac:dyDescent="0.2">
      <c r="J14" s="9"/>
      <c r="K14" s="9"/>
      <c r="L14" s="9"/>
      <c r="M14" s="116"/>
    </row>
    <row r="15" spans="3:13" x14ac:dyDescent="0.2">
      <c r="C15" s="7"/>
      <c r="D15" s="8"/>
      <c r="E15" s="8">
        <v>2019</v>
      </c>
      <c r="F15" s="8">
        <v>2018</v>
      </c>
      <c r="G15" s="9"/>
      <c r="J15" s="9" t="s">
        <v>60</v>
      </c>
      <c r="K15" s="9"/>
      <c r="L15" s="9"/>
      <c r="M15" s="116"/>
    </row>
    <row r="16" spans="3:13" x14ac:dyDescent="0.2">
      <c r="C16" s="2" t="s">
        <v>10</v>
      </c>
      <c r="D16" s="2"/>
      <c r="E16" s="10">
        <v>95.9</v>
      </c>
      <c r="F16" s="11">
        <v>69</v>
      </c>
      <c r="G16" s="51"/>
      <c r="H16" s="34"/>
      <c r="J16" s="52" t="s">
        <v>46</v>
      </c>
      <c r="K16" s="53"/>
      <c r="L16" s="50"/>
      <c r="M16" s="117"/>
    </row>
    <row r="17" spans="1:16" x14ac:dyDescent="0.2">
      <c r="A17" s="16"/>
      <c r="B17" s="16"/>
      <c r="C17" s="2" t="s">
        <v>11</v>
      </c>
      <c r="D17" s="2"/>
      <c r="E17" s="10">
        <v>487.9</v>
      </c>
      <c r="F17" s="11">
        <v>439</v>
      </c>
      <c r="G17" s="51"/>
      <c r="H17" s="34"/>
      <c r="J17" s="52" t="s">
        <v>61</v>
      </c>
      <c r="K17" s="53"/>
      <c r="L17" s="50"/>
      <c r="M17" s="117"/>
    </row>
    <row r="18" spans="1:16" x14ac:dyDescent="0.2">
      <c r="C18" s="2" t="s">
        <v>12</v>
      </c>
      <c r="D18" s="2"/>
      <c r="E18" s="17">
        <v>386.4</v>
      </c>
      <c r="F18" s="18">
        <v>351</v>
      </c>
      <c r="G18" s="51"/>
      <c r="H18" s="34"/>
      <c r="J18" s="52" t="s">
        <v>62</v>
      </c>
      <c r="K18" s="53"/>
      <c r="L18" s="54"/>
      <c r="M18" s="118"/>
    </row>
    <row r="19" spans="1:16" x14ac:dyDescent="0.2">
      <c r="C19" s="21" t="s">
        <v>13</v>
      </c>
      <c r="D19" s="2"/>
      <c r="E19" s="10">
        <f>SUM(E16:E18)</f>
        <v>970.19999999999993</v>
      </c>
      <c r="F19" s="11">
        <f>SUM(F16:F18)</f>
        <v>859</v>
      </c>
      <c r="G19" s="51"/>
      <c r="H19" s="34"/>
      <c r="J19" s="52" t="s">
        <v>63</v>
      </c>
      <c r="K19" s="9"/>
      <c r="L19" s="54"/>
      <c r="M19" s="118"/>
    </row>
    <row r="20" spans="1:16" x14ac:dyDescent="0.2">
      <c r="C20" s="2" t="s">
        <v>14</v>
      </c>
      <c r="D20" s="2"/>
      <c r="E20" s="17">
        <v>962.5</v>
      </c>
      <c r="F20" s="18">
        <v>895</v>
      </c>
      <c r="G20" s="51"/>
      <c r="H20" s="34"/>
      <c r="J20" s="52" t="s">
        <v>64</v>
      </c>
      <c r="K20" s="9"/>
      <c r="L20" s="51"/>
      <c r="M20" s="118"/>
    </row>
    <row r="21" spans="1:16" ht="15" thickBot="1" x14ac:dyDescent="0.25">
      <c r="C21" s="2" t="s">
        <v>15</v>
      </c>
      <c r="D21" s="2"/>
      <c r="E21" s="23">
        <f>SUM(E19:E20)</f>
        <v>1932.6999999999998</v>
      </c>
      <c r="F21" s="24">
        <f>SUM(F19:F20)</f>
        <v>1754</v>
      </c>
      <c r="G21" s="51"/>
      <c r="H21" s="34"/>
      <c r="J21" s="52"/>
      <c r="K21" s="9"/>
      <c r="L21" s="47"/>
      <c r="M21" s="117" t="s">
        <v>65</v>
      </c>
    </row>
    <row r="22" spans="1:16" ht="15" thickTop="1" x14ac:dyDescent="0.2">
      <c r="C22" s="2"/>
      <c r="D22" s="2"/>
      <c r="E22" s="10"/>
      <c r="F22" s="11"/>
      <c r="G22" s="51"/>
      <c r="H22" s="34"/>
      <c r="J22" s="56" t="s">
        <v>66</v>
      </c>
      <c r="K22" s="53"/>
      <c r="L22" s="50"/>
      <c r="M22" s="117"/>
    </row>
    <row r="23" spans="1:16" x14ac:dyDescent="0.2">
      <c r="C23" s="2" t="s">
        <v>16</v>
      </c>
      <c r="D23" s="2"/>
      <c r="E23" s="10">
        <v>289.39999999999998</v>
      </c>
      <c r="F23" s="11">
        <v>263</v>
      </c>
      <c r="G23" s="51"/>
      <c r="H23" s="34"/>
      <c r="J23" s="57"/>
      <c r="K23" s="9"/>
      <c r="L23" s="53"/>
      <c r="M23" s="116"/>
    </row>
    <row r="24" spans="1:16" x14ac:dyDescent="0.2">
      <c r="C24" s="2" t="s">
        <v>17</v>
      </c>
      <c r="D24" s="2"/>
      <c r="E24" s="10">
        <v>21.78</v>
      </c>
      <c r="F24" s="11">
        <v>21</v>
      </c>
      <c r="G24" s="51"/>
      <c r="H24" s="34"/>
      <c r="J24" s="57" t="s">
        <v>67</v>
      </c>
      <c r="K24" s="9"/>
      <c r="L24" s="9"/>
      <c r="M24" s="116"/>
    </row>
    <row r="25" spans="1:16" ht="17" x14ac:dyDescent="0.35">
      <c r="C25" s="2" t="s">
        <v>18</v>
      </c>
      <c r="D25" s="2"/>
      <c r="E25" s="17">
        <v>32</v>
      </c>
      <c r="F25" s="18">
        <v>32</v>
      </c>
      <c r="G25" s="51"/>
      <c r="H25" s="34"/>
      <c r="J25" s="52" t="s">
        <v>68</v>
      </c>
      <c r="K25" s="9"/>
      <c r="L25" s="115"/>
      <c r="M25" s="116"/>
      <c r="P25" s="28"/>
    </row>
    <row r="26" spans="1:16" ht="17" x14ac:dyDescent="0.35">
      <c r="C26" s="21" t="s">
        <v>19</v>
      </c>
      <c r="D26" s="2"/>
      <c r="E26" s="10">
        <f>SUM(E23:E25)</f>
        <v>343.17999999999995</v>
      </c>
      <c r="F26" s="11">
        <f>SUM(F23:F25)</f>
        <v>316</v>
      </c>
      <c r="G26" s="51"/>
      <c r="H26" s="34"/>
      <c r="J26" s="56" t="s">
        <v>69</v>
      </c>
      <c r="K26" s="53"/>
      <c r="L26" s="50"/>
      <c r="M26" s="116"/>
      <c r="P26" s="27"/>
    </row>
    <row r="27" spans="1:16" x14ac:dyDescent="0.2">
      <c r="C27" s="2" t="s">
        <v>20</v>
      </c>
      <c r="D27" s="2"/>
      <c r="E27" s="10">
        <v>451.3</v>
      </c>
      <c r="F27" s="11">
        <v>379</v>
      </c>
      <c r="G27" s="51"/>
      <c r="H27" s="34"/>
      <c r="J27" s="52"/>
      <c r="K27" s="53"/>
      <c r="L27" s="9"/>
      <c r="M27" s="116"/>
      <c r="P27" s="28"/>
    </row>
    <row r="28" spans="1:16" ht="17" x14ac:dyDescent="0.35">
      <c r="C28" s="2" t="s">
        <v>21</v>
      </c>
      <c r="D28" s="2"/>
      <c r="E28" s="17">
        <v>70</v>
      </c>
      <c r="F28" s="18">
        <v>70</v>
      </c>
      <c r="G28" s="51"/>
      <c r="H28" s="34"/>
      <c r="J28" s="57" t="s">
        <v>70</v>
      </c>
      <c r="K28" s="53"/>
      <c r="L28" s="9"/>
      <c r="M28" s="116"/>
      <c r="P28" s="27"/>
    </row>
    <row r="29" spans="1:16" x14ac:dyDescent="0.2">
      <c r="C29" s="2" t="s">
        <v>24</v>
      </c>
      <c r="D29" s="2"/>
      <c r="E29" s="10">
        <f>SUM(E26:E28)</f>
        <v>864.48</v>
      </c>
      <c r="F29" s="11">
        <f>SUM(F26:F28)</f>
        <v>765</v>
      </c>
      <c r="G29" s="51"/>
      <c r="H29" s="34"/>
      <c r="J29" s="52" t="s">
        <v>71</v>
      </c>
      <c r="K29" s="53"/>
      <c r="L29" s="51"/>
      <c r="M29" s="118"/>
      <c r="P29" s="28"/>
    </row>
    <row r="30" spans="1:16" x14ac:dyDescent="0.2">
      <c r="C30" s="2" t="s">
        <v>25</v>
      </c>
      <c r="D30" s="2"/>
      <c r="E30" s="10">
        <v>300</v>
      </c>
      <c r="F30" s="11">
        <v>300</v>
      </c>
      <c r="G30" s="51"/>
      <c r="H30" s="34"/>
      <c r="J30" s="52" t="s">
        <v>72</v>
      </c>
      <c r="K30" s="9"/>
      <c r="L30" s="50"/>
      <c r="M30" s="118"/>
    </row>
    <row r="31" spans="1:16" ht="17" x14ac:dyDescent="0.35">
      <c r="C31" s="2" t="s">
        <v>27</v>
      </c>
      <c r="D31" s="2"/>
      <c r="E31" s="17">
        <f>F31+E53</f>
        <v>768.17083599999978</v>
      </c>
      <c r="F31" s="18">
        <v>689</v>
      </c>
      <c r="G31" s="51"/>
      <c r="H31" s="34"/>
      <c r="J31" s="52" t="s">
        <v>73</v>
      </c>
      <c r="K31" s="9"/>
      <c r="L31" s="49"/>
      <c r="M31" s="119"/>
    </row>
    <row r="32" spans="1:16" ht="15" thickBot="1" x14ac:dyDescent="0.25">
      <c r="C32" s="2" t="s">
        <v>29</v>
      </c>
      <c r="D32" s="2"/>
      <c r="E32" s="23">
        <f>SUM(E29:E31)</f>
        <v>1932.6508359999998</v>
      </c>
      <c r="F32" s="24">
        <f>SUM(F29:F31)</f>
        <v>1754</v>
      </c>
      <c r="G32" s="51"/>
      <c r="H32" s="34"/>
      <c r="I32" s="34"/>
      <c r="J32" s="56" t="s">
        <v>74</v>
      </c>
      <c r="K32" s="53"/>
      <c r="L32" s="53"/>
      <c r="M32" s="118"/>
    </row>
    <row r="33" spans="3:13" ht="15" thickTop="1" x14ac:dyDescent="0.2">
      <c r="J33" s="57"/>
      <c r="K33" s="53"/>
      <c r="L33" s="9"/>
      <c r="M33" s="117"/>
    </row>
    <row r="34" spans="3:13" x14ac:dyDescent="0.2">
      <c r="E34" s="20"/>
      <c r="F34" s="20"/>
      <c r="G34" s="20"/>
      <c r="J34" s="58" t="s">
        <v>75</v>
      </c>
      <c r="K34" s="53"/>
      <c r="L34" s="53"/>
      <c r="M34" s="116"/>
    </row>
    <row r="35" spans="3:13" x14ac:dyDescent="0.2">
      <c r="C35" s="126" t="s">
        <v>8</v>
      </c>
      <c r="D35" s="126"/>
      <c r="E35" s="126"/>
      <c r="F35" s="5"/>
      <c r="J35" s="9" t="s">
        <v>76</v>
      </c>
      <c r="K35" s="9"/>
      <c r="L35" s="49"/>
      <c r="M35" s="20"/>
    </row>
    <row r="36" spans="3:13" x14ac:dyDescent="0.2">
      <c r="C36" s="126" t="s">
        <v>34</v>
      </c>
      <c r="D36" s="126"/>
      <c r="E36" s="126"/>
      <c r="F36" s="5"/>
      <c r="J36" s="9" t="s">
        <v>77</v>
      </c>
      <c r="K36" s="9"/>
      <c r="L36" s="45"/>
      <c r="M36" s="28"/>
    </row>
    <row r="37" spans="3:13" x14ac:dyDescent="0.2">
      <c r="J37" s="9" t="s">
        <v>78</v>
      </c>
      <c r="K37" s="9"/>
      <c r="L37" s="45"/>
      <c r="M37" s="20"/>
    </row>
    <row r="38" spans="3:13" x14ac:dyDescent="0.2">
      <c r="C38" s="2"/>
      <c r="D38" s="2"/>
      <c r="E38" s="37">
        <v>2019</v>
      </c>
      <c r="F38" s="37">
        <v>2018</v>
      </c>
      <c r="G38" s="9"/>
    </row>
    <row r="39" spans="3:13" ht="30" x14ac:dyDescent="0.2">
      <c r="C39" s="2"/>
      <c r="D39" s="2"/>
      <c r="E39" s="2"/>
      <c r="F39" s="2"/>
      <c r="G39" s="9"/>
      <c r="L39" s="29" t="s">
        <v>22</v>
      </c>
      <c r="M39" s="30" t="s">
        <v>23</v>
      </c>
    </row>
    <row r="40" spans="3:13" x14ac:dyDescent="0.2">
      <c r="C40" s="2" t="s">
        <v>36</v>
      </c>
      <c r="D40" s="2"/>
      <c r="E40" s="10">
        <v>2190.1</v>
      </c>
      <c r="F40" s="11">
        <v>1991</v>
      </c>
      <c r="G40" s="51"/>
      <c r="L40" s="31"/>
      <c r="M40" s="32"/>
    </row>
    <row r="41" spans="3:13" x14ac:dyDescent="0.2">
      <c r="C41" s="2" t="s">
        <v>37</v>
      </c>
      <c r="D41" s="2"/>
      <c r="E41" s="10">
        <v>1467.4</v>
      </c>
      <c r="F41" s="11">
        <v>1334</v>
      </c>
      <c r="G41" s="51"/>
      <c r="H41" s="34"/>
      <c r="K41" s="1" t="s">
        <v>79</v>
      </c>
      <c r="L41" s="31">
        <v>15</v>
      </c>
      <c r="M41" s="32">
        <v>15</v>
      </c>
    </row>
    <row r="42" spans="3:13" x14ac:dyDescent="0.2">
      <c r="C42" s="2" t="s">
        <v>38</v>
      </c>
      <c r="D42" s="2"/>
      <c r="E42" s="10">
        <v>328.9</v>
      </c>
      <c r="F42" s="11">
        <v>299</v>
      </c>
      <c r="G42" s="51"/>
      <c r="H42" s="34"/>
      <c r="K42" s="1" t="s">
        <v>30</v>
      </c>
      <c r="L42" s="31">
        <v>5</v>
      </c>
      <c r="M42" s="32">
        <v>5</v>
      </c>
    </row>
    <row r="43" spans="3:13" x14ac:dyDescent="0.2">
      <c r="C43" s="2" t="s">
        <v>39</v>
      </c>
      <c r="D43" s="2"/>
      <c r="E43" s="10">
        <v>130.9</v>
      </c>
      <c r="F43" s="11">
        <v>119</v>
      </c>
      <c r="G43" s="51"/>
      <c r="H43" s="34"/>
      <c r="K43" s="1" t="s">
        <v>31</v>
      </c>
      <c r="L43" s="35">
        <v>5</v>
      </c>
      <c r="M43" s="36">
        <v>5</v>
      </c>
    </row>
    <row r="44" spans="3:13" x14ac:dyDescent="0.2">
      <c r="C44" s="2" t="s">
        <v>40</v>
      </c>
      <c r="D44" s="2"/>
      <c r="E44" s="17">
        <v>88</v>
      </c>
      <c r="F44" s="18">
        <v>80</v>
      </c>
      <c r="G44" s="51"/>
      <c r="H44" s="34"/>
      <c r="K44" s="1" t="s">
        <v>80</v>
      </c>
      <c r="L44" s="31">
        <f>SUM(L41:L43)</f>
        <v>25</v>
      </c>
      <c r="M44" s="32">
        <f>SUM(M41:M43)</f>
        <v>25</v>
      </c>
    </row>
    <row r="45" spans="3:13" x14ac:dyDescent="0.2">
      <c r="C45" s="2" t="s">
        <v>41</v>
      </c>
      <c r="D45" s="2"/>
      <c r="E45" s="40">
        <f>SUM(E41:E44)</f>
        <v>2015.2000000000003</v>
      </c>
      <c r="F45" s="18">
        <f>SUM(F41:F44)</f>
        <v>1832</v>
      </c>
      <c r="G45" s="51"/>
      <c r="H45" s="34"/>
    </row>
    <row r="46" spans="3:13" x14ac:dyDescent="0.2">
      <c r="C46" s="2" t="s">
        <v>42</v>
      </c>
      <c r="D46" s="2"/>
      <c r="E46" s="10">
        <f>E40-E45</f>
        <v>174.89999999999964</v>
      </c>
      <c r="F46" s="11">
        <f>F40-F45</f>
        <v>159</v>
      </c>
      <c r="G46" s="51"/>
      <c r="H46" s="34"/>
    </row>
    <row r="47" spans="3:13" x14ac:dyDescent="0.2">
      <c r="C47" s="2" t="s">
        <v>43</v>
      </c>
      <c r="D47" s="2"/>
      <c r="E47" s="17">
        <f>E8*(E27+E24)</f>
        <v>47.308000000000007</v>
      </c>
      <c r="F47" s="18">
        <f>F8*(F24+F27)</f>
        <v>40</v>
      </c>
      <c r="G47" s="51"/>
      <c r="H47" s="34"/>
    </row>
    <row r="48" spans="3:13" x14ac:dyDescent="0.2">
      <c r="C48" s="2" t="s">
        <v>44</v>
      </c>
      <c r="D48" s="2"/>
      <c r="E48" s="10">
        <f>E46-E47</f>
        <v>127.59199999999963</v>
      </c>
      <c r="F48" s="11">
        <f>F46-F47</f>
        <v>119</v>
      </c>
      <c r="G48" s="51"/>
      <c r="H48" s="34"/>
    </row>
    <row r="49" spans="3:8" x14ac:dyDescent="0.2">
      <c r="C49" s="2" t="s">
        <v>45</v>
      </c>
      <c r="D49" s="2"/>
      <c r="E49" s="17">
        <f>E48*E5</f>
        <v>34.449839999999902</v>
      </c>
      <c r="F49" s="18">
        <f>F48*F5</f>
        <v>32.130000000000003</v>
      </c>
      <c r="G49" s="51"/>
      <c r="H49" s="34"/>
    </row>
    <row r="50" spans="3:8" ht="15" thickBot="1" x14ac:dyDescent="0.25">
      <c r="C50" s="2" t="s">
        <v>46</v>
      </c>
      <c r="D50" s="2"/>
      <c r="E50" s="23">
        <f>E48-E49</f>
        <v>93.142159999999734</v>
      </c>
      <c r="F50" s="24">
        <f>F48-F49</f>
        <v>86.87</v>
      </c>
      <c r="G50" s="51"/>
      <c r="H50" s="34"/>
    </row>
    <row r="51" spans="3:8" ht="15" thickTop="1" x14ac:dyDescent="0.2">
      <c r="C51" s="2"/>
      <c r="D51" s="2"/>
      <c r="E51" s="10"/>
      <c r="F51" s="11"/>
    </row>
    <row r="52" spans="3:8" x14ac:dyDescent="0.2">
      <c r="C52" s="2" t="s">
        <v>47</v>
      </c>
      <c r="D52" s="2"/>
      <c r="E52" s="10">
        <f>E50*E7</f>
        <v>13.97132399999996</v>
      </c>
      <c r="F52" s="11">
        <f>F7*F50</f>
        <v>13.0305</v>
      </c>
    </row>
    <row r="53" spans="3:8" x14ac:dyDescent="0.2">
      <c r="C53" s="2" t="s">
        <v>48</v>
      </c>
      <c r="D53" s="2"/>
      <c r="E53" s="10">
        <f>E50-E52</f>
        <v>79.170835999999781</v>
      </c>
      <c r="F53" s="11">
        <f>F50-F52</f>
        <v>73.839500000000001</v>
      </c>
      <c r="G53" s="20"/>
    </row>
    <row r="54" spans="3:8" x14ac:dyDescent="0.2">
      <c r="E54" s="20"/>
      <c r="G54" s="20"/>
    </row>
    <row r="55" spans="3:8" x14ac:dyDescent="0.2">
      <c r="G55" s="20"/>
    </row>
    <row r="56" spans="3:8" x14ac:dyDescent="0.2">
      <c r="C56" s="1" t="s">
        <v>7</v>
      </c>
      <c r="G56" s="20"/>
    </row>
    <row r="57" spans="3:8" x14ac:dyDescent="0.2">
      <c r="C57" s="1" t="s">
        <v>6</v>
      </c>
      <c r="G57" s="20"/>
    </row>
    <row r="58" spans="3:8" x14ac:dyDescent="0.2">
      <c r="G58" s="20"/>
    </row>
    <row r="59" spans="3:8" x14ac:dyDescent="0.2">
      <c r="C59" s="126" t="s">
        <v>8</v>
      </c>
      <c r="D59" s="126"/>
      <c r="E59" s="126"/>
      <c r="F59" s="126"/>
      <c r="G59" s="20"/>
    </row>
    <row r="60" spans="3:8" x14ac:dyDescent="0.2">
      <c r="G60" s="34"/>
    </row>
    <row r="61" spans="3:8" x14ac:dyDescent="0.2">
      <c r="C61" s="125" t="s">
        <v>49</v>
      </c>
      <c r="D61" s="125"/>
      <c r="E61" s="125"/>
      <c r="F61" s="37"/>
      <c r="G61" s="41"/>
    </row>
    <row r="62" spans="3:8" x14ac:dyDescent="0.2">
      <c r="C62" s="2"/>
      <c r="D62" s="2"/>
      <c r="E62" s="2"/>
      <c r="F62" s="2"/>
      <c r="G62" s="2"/>
    </row>
    <row r="63" spans="3:8" s="38" customFormat="1" ht="45" x14ac:dyDescent="0.2">
      <c r="C63" s="42"/>
      <c r="D63" s="43" t="s">
        <v>50</v>
      </c>
      <c r="E63" s="43" t="s">
        <v>51</v>
      </c>
      <c r="F63" s="43" t="s">
        <v>52</v>
      </c>
      <c r="G63" s="44" t="s">
        <v>53</v>
      </c>
    </row>
    <row r="64" spans="3:8" x14ac:dyDescent="0.2">
      <c r="C64" s="2" t="s">
        <v>54</v>
      </c>
      <c r="D64" s="9">
        <v>100</v>
      </c>
      <c r="E64" s="45">
        <f>F30</f>
        <v>300</v>
      </c>
      <c r="F64" s="46">
        <f>F31</f>
        <v>689</v>
      </c>
      <c r="G64" s="46">
        <f>SUM(D64:F64)</f>
        <v>1089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1168.1708359999998</v>
      </c>
    </row>
    <row r="69" spans="3:7" x14ac:dyDescent="0.2">
      <c r="G69" s="34"/>
    </row>
    <row r="70" spans="3:7" x14ac:dyDescent="0.2">
      <c r="G70" s="34"/>
    </row>
    <row r="71" spans="3:7" x14ac:dyDescent="0.2">
      <c r="G71" s="34"/>
    </row>
    <row r="73" spans="3:7" x14ac:dyDescent="0.2">
      <c r="G73" s="34"/>
    </row>
  </sheetData>
  <mergeCells count="7">
    <mergeCell ref="C61:E61"/>
    <mergeCell ref="J12:L12"/>
    <mergeCell ref="C12:E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B672-6EC0-4AE3-A9BB-41CCB0D2146B}">
  <sheetPr>
    <pageSetUpPr fitToPage="1"/>
  </sheetPr>
  <dimension ref="A2:O73"/>
  <sheetViews>
    <sheetView topLeftCell="C7" zoomScale="136" zoomScaleNormal="136" workbookViewId="0">
      <selection activeCell="H34" sqref="H34"/>
    </sheetView>
  </sheetViews>
  <sheetFormatPr baseColWidth="10" defaultColWidth="9.1640625" defaultRowHeight="14" x14ac:dyDescent="0.2"/>
  <cols>
    <col min="1" max="2" width="9.1640625" style="1"/>
    <col min="3" max="3" width="36.83203125" style="1" customWidth="1"/>
    <col min="4" max="4" width="10.1640625" style="1" customWidth="1"/>
    <col min="5" max="6" width="9.83203125" style="1" customWidth="1"/>
    <col min="7" max="7" width="12.5" style="1" bestFit="1" customWidth="1"/>
    <col min="8" max="8" width="9.1640625" style="1"/>
    <col min="9" max="9" width="34.5" style="1" customWidth="1"/>
    <col min="10" max="10" width="12.1640625" style="1" bestFit="1" customWidth="1"/>
    <col min="11" max="13" width="9.1640625" style="1"/>
    <col min="14" max="14" width="12.5" style="1" bestFit="1" customWidth="1"/>
    <col min="15" max="16384" width="9.1640625" style="1"/>
  </cols>
  <sheetData>
    <row r="2" spans="3:13" x14ac:dyDescent="0.2">
      <c r="E2" s="1">
        <v>2019</v>
      </c>
      <c r="F2" s="1">
        <v>2018</v>
      </c>
    </row>
    <row r="3" spans="3:13" x14ac:dyDescent="0.2">
      <c r="C3" s="2" t="s">
        <v>0</v>
      </c>
      <c r="D3" s="2"/>
      <c r="E3" s="3">
        <v>10</v>
      </c>
      <c r="F3" s="3">
        <v>10</v>
      </c>
    </row>
    <row r="4" spans="3:13" x14ac:dyDescent="0.2">
      <c r="C4" s="2" t="s">
        <v>1</v>
      </c>
      <c r="D4" s="2"/>
      <c r="E4" s="2">
        <v>100</v>
      </c>
      <c r="F4" s="2">
        <v>100</v>
      </c>
    </row>
    <row r="5" spans="3:13" x14ac:dyDescent="0.2">
      <c r="C5" s="2" t="s">
        <v>2</v>
      </c>
      <c r="D5" s="2"/>
      <c r="E5" s="4">
        <v>0.27</v>
      </c>
      <c r="F5" s="4">
        <v>0.27</v>
      </c>
    </row>
    <row r="6" spans="3:13" x14ac:dyDescent="0.2">
      <c r="C6" s="2" t="s">
        <v>3</v>
      </c>
      <c r="D6" s="2"/>
      <c r="E6" s="4">
        <v>0.11</v>
      </c>
      <c r="F6" s="4">
        <v>0.11</v>
      </c>
    </row>
    <row r="7" spans="3:13" x14ac:dyDescent="0.2">
      <c r="C7" s="2" t="s">
        <v>4</v>
      </c>
      <c r="D7" s="2"/>
      <c r="E7" s="2">
        <v>0.15</v>
      </c>
      <c r="F7" s="2">
        <v>0.15</v>
      </c>
    </row>
    <row r="8" spans="3:13" x14ac:dyDescent="0.2">
      <c r="C8" s="2" t="s">
        <v>5</v>
      </c>
      <c r="D8" s="2"/>
      <c r="E8" s="3">
        <v>0.1</v>
      </c>
      <c r="F8" s="3">
        <v>0.1</v>
      </c>
    </row>
    <row r="9" spans="3:13" x14ac:dyDescent="0.2">
      <c r="C9" s="2" t="s">
        <v>6</v>
      </c>
      <c r="D9" s="2"/>
      <c r="E9" s="2">
        <v>-1</v>
      </c>
    </row>
    <row r="10" spans="3:13" x14ac:dyDescent="0.2">
      <c r="C10" s="2" t="s">
        <v>7</v>
      </c>
      <c r="D10" s="2"/>
      <c r="E10" s="2">
        <v>1</v>
      </c>
    </row>
    <row r="12" spans="3:13" x14ac:dyDescent="0.2">
      <c r="C12" s="126" t="s">
        <v>8</v>
      </c>
      <c r="D12" s="126"/>
      <c r="E12" s="126"/>
      <c r="F12" s="5"/>
      <c r="I12" s="126"/>
      <c r="J12" s="126"/>
      <c r="K12" s="126"/>
      <c r="L12" s="126"/>
    </row>
    <row r="13" spans="3:13" x14ac:dyDescent="0.2">
      <c r="C13" s="127" t="s">
        <v>9</v>
      </c>
      <c r="D13" s="127"/>
      <c r="E13" s="127"/>
      <c r="F13" s="6"/>
    </row>
    <row r="15" spans="3:13" ht="30" x14ac:dyDescent="0.2">
      <c r="C15" s="7"/>
      <c r="D15" s="8"/>
      <c r="E15" s="8">
        <v>2019</v>
      </c>
      <c r="F15" s="8">
        <v>2018</v>
      </c>
      <c r="G15" s="9"/>
      <c r="L15" s="29" t="s">
        <v>22</v>
      </c>
      <c r="M15" s="30" t="s">
        <v>23</v>
      </c>
    </row>
    <row r="16" spans="3:13" x14ac:dyDescent="0.2">
      <c r="C16" s="2" t="s">
        <v>10</v>
      </c>
      <c r="D16" s="2"/>
      <c r="E16" s="10">
        <v>95.9</v>
      </c>
      <c r="F16" s="11">
        <v>69</v>
      </c>
      <c r="G16" s="12"/>
      <c r="L16" s="31"/>
      <c r="M16" s="32"/>
    </row>
    <row r="17" spans="1:15" x14ac:dyDescent="0.2">
      <c r="A17" s="16"/>
      <c r="B17" s="16"/>
      <c r="C17" s="2" t="s">
        <v>11</v>
      </c>
      <c r="D17" s="2"/>
      <c r="E17" s="10">
        <v>487.9</v>
      </c>
      <c r="F17" s="11">
        <v>439</v>
      </c>
      <c r="G17" s="12"/>
      <c r="I17" s="1" t="s">
        <v>81</v>
      </c>
      <c r="K17" s="50"/>
      <c r="L17" s="31">
        <v>2</v>
      </c>
      <c r="M17" s="32">
        <v>2</v>
      </c>
    </row>
    <row r="18" spans="1:15" ht="15" x14ac:dyDescent="0.2">
      <c r="C18" s="2" t="s">
        <v>12</v>
      </c>
      <c r="D18" s="2"/>
      <c r="E18" s="17">
        <v>386.4</v>
      </c>
      <c r="F18" s="18">
        <v>351</v>
      </c>
      <c r="G18" s="12"/>
      <c r="I18" s="59" t="s">
        <v>82</v>
      </c>
      <c r="K18" s="50"/>
      <c r="L18" s="31">
        <v>2</v>
      </c>
      <c r="M18" s="32">
        <v>2</v>
      </c>
    </row>
    <row r="19" spans="1:15" x14ac:dyDescent="0.2">
      <c r="C19" s="21" t="s">
        <v>13</v>
      </c>
      <c r="D19" s="2"/>
      <c r="E19" s="10">
        <f>SUM(E16:E18)</f>
        <v>970.19999999999993</v>
      </c>
      <c r="F19" s="11">
        <f>SUM(F16:F18)</f>
        <v>859</v>
      </c>
      <c r="G19" s="12"/>
      <c r="I19" s="1" t="s">
        <v>83</v>
      </c>
      <c r="K19" s="50"/>
      <c r="L19" s="31">
        <v>2</v>
      </c>
      <c r="M19" s="32">
        <v>2</v>
      </c>
    </row>
    <row r="20" spans="1:15" x14ac:dyDescent="0.2">
      <c r="C20" s="2" t="s">
        <v>14</v>
      </c>
      <c r="D20" s="2"/>
      <c r="E20" s="17">
        <v>962.5</v>
      </c>
      <c r="F20" s="18">
        <v>895</v>
      </c>
      <c r="G20" s="12"/>
      <c r="K20" s="15"/>
      <c r="L20" s="31"/>
      <c r="M20" s="32"/>
    </row>
    <row r="21" spans="1:15" ht="15" thickBot="1" x14ac:dyDescent="0.25">
      <c r="C21" s="2" t="s">
        <v>15</v>
      </c>
      <c r="D21" s="2"/>
      <c r="E21" s="23">
        <f>SUM(E19:E20)</f>
        <v>1932.6999999999998</v>
      </c>
      <c r="F21" s="24">
        <f>SUM(F19:F20)</f>
        <v>1754</v>
      </c>
      <c r="G21" s="12"/>
      <c r="I21" s="1" t="s">
        <v>84</v>
      </c>
      <c r="K21" s="50"/>
      <c r="L21" s="31">
        <v>2</v>
      </c>
      <c r="M21" s="32">
        <v>2</v>
      </c>
    </row>
    <row r="22" spans="1:15" ht="15" thickTop="1" x14ac:dyDescent="0.2">
      <c r="C22" s="2"/>
      <c r="D22" s="2"/>
      <c r="E22" s="10"/>
      <c r="F22" s="11"/>
      <c r="G22" s="12"/>
      <c r="I22" s="34"/>
      <c r="K22" s="15"/>
      <c r="L22" s="31"/>
      <c r="M22" s="32"/>
    </row>
    <row r="23" spans="1:15" x14ac:dyDescent="0.2">
      <c r="C23" s="2" t="s">
        <v>16</v>
      </c>
      <c r="D23" s="2"/>
      <c r="E23" s="10">
        <v>289.39999999999998</v>
      </c>
      <c r="F23" s="11">
        <v>263</v>
      </c>
      <c r="G23" s="12"/>
      <c r="I23" s="1" t="s">
        <v>85</v>
      </c>
      <c r="K23" s="50"/>
      <c r="L23" s="31">
        <v>2</v>
      </c>
      <c r="M23" s="32">
        <v>2</v>
      </c>
    </row>
    <row r="24" spans="1:15" x14ac:dyDescent="0.2">
      <c r="C24" s="2" t="s">
        <v>17</v>
      </c>
      <c r="D24" s="2"/>
      <c r="E24" s="10">
        <v>21.78</v>
      </c>
      <c r="F24" s="11">
        <v>21</v>
      </c>
      <c r="G24" s="12"/>
      <c r="I24" s="1" t="s">
        <v>86</v>
      </c>
      <c r="K24" s="50"/>
      <c r="L24" s="31">
        <v>2</v>
      </c>
      <c r="M24" s="32">
        <v>2</v>
      </c>
    </row>
    <row r="25" spans="1:15" x14ac:dyDescent="0.2">
      <c r="C25" s="2" t="s">
        <v>18</v>
      </c>
      <c r="D25" s="2"/>
      <c r="E25" s="17">
        <v>32</v>
      </c>
      <c r="F25" s="18">
        <v>32</v>
      </c>
      <c r="G25" s="12"/>
      <c r="I25" s="1" t="s">
        <v>87</v>
      </c>
      <c r="K25" s="55"/>
      <c r="L25" s="31">
        <v>2</v>
      </c>
      <c r="M25" s="32">
        <v>2</v>
      </c>
      <c r="O25" s="28"/>
    </row>
    <row r="26" spans="1:15" ht="17" x14ac:dyDescent="0.35">
      <c r="C26" s="21" t="s">
        <v>19</v>
      </c>
      <c r="D26" s="2"/>
      <c r="E26" s="10">
        <f>SUM(E23:E25)</f>
        <v>343.17999999999995</v>
      </c>
      <c r="F26" s="11">
        <f>SUM(F23:F25)</f>
        <v>316</v>
      </c>
      <c r="G26" s="12"/>
      <c r="I26" s="34" t="s">
        <v>88</v>
      </c>
      <c r="K26" s="50"/>
      <c r="L26" s="31">
        <v>2</v>
      </c>
      <c r="M26" s="32">
        <v>2</v>
      </c>
      <c r="O26" s="27"/>
    </row>
    <row r="27" spans="1:15" x14ac:dyDescent="0.2">
      <c r="C27" s="2" t="s">
        <v>20</v>
      </c>
      <c r="D27" s="2"/>
      <c r="E27" s="10">
        <v>451.3</v>
      </c>
      <c r="F27" s="11">
        <v>379</v>
      </c>
      <c r="G27" s="12"/>
      <c r="I27" s="34"/>
      <c r="K27" s="15"/>
      <c r="L27" s="31"/>
      <c r="M27" s="32"/>
      <c r="O27" s="28"/>
    </row>
    <row r="28" spans="1:15" ht="17" x14ac:dyDescent="0.35">
      <c r="C28" s="2" t="s">
        <v>21</v>
      </c>
      <c r="D28" s="2"/>
      <c r="E28" s="17">
        <v>70</v>
      </c>
      <c r="F28" s="18">
        <v>70</v>
      </c>
      <c r="G28" s="12"/>
      <c r="I28" s="34" t="s">
        <v>89</v>
      </c>
      <c r="K28" s="50"/>
      <c r="L28" s="60">
        <v>1</v>
      </c>
      <c r="M28" s="32">
        <v>1</v>
      </c>
      <c r="O28" s="27"/>
    </row>
    <row r="29" spans="1:15" x14ac:dyDescent="0.2">
      <c r="C29" s="2" t="s">
        <v>24</v>
      </c>
      <c r="D29" s="2"/>
      <c r="E29" s="10">
        <f>SUM(E26:E28)</f>
        <v>864.48</v>
      </c>
      <c r="F29" s="11">
        <f>SUM(F26:F28)</f>
        <v>765</v>
      </c>
      <c r="G29" s="12"/>
      <c r="I29" s="1" t="s">
        <v>90</v>
      </c>
      <c r="K29" s="50"/>
      <c r="L29" s="60">
        <v>1</v>
      </c>
      <c r="M29" s="32">
        <v>1</v>
      </c>
      <c r="O29" s="28"/>
    </row>
    <row r="30" spans="1:15" x14ac:dyDescent="0.2">
      <c r="C30" s="2" t="s">
        <v>25</v>
      </c>
      <c r="D30" s="2"/>
      <c r="E30" s="10">
        <v>300</v>
      </c>
      <c r="F30" s="11">
        <v>300</v>
      </c>
      <c r="G30" s="12"/>
      <c r="I30" s="1" t="s">
        <v>91</v>
      </c>
      <c r="K30" s="50"/>
      <c r="L30" s="60">
        <v>2</v>
      </c>
      <c r="M30" s="32">
        <v>2</v>
      </c>
    </row>
    <row r="31" spans="1:15" x14ac:dyDescent="0.2">
      <c r="C31" s="2" t="s">
        <v>27</v>
      </c>
      <c r="D31" s="2"/>
      <c r="E31" s="17">
        <f>F31+E53</f>
        <v>768.17083599999978</v>
      </c>
      <c r="F31" s="18">
        <v>689</v>
      </c>
      <c r="G31" s="12"/>
      <c r="I31" s="61"/>
      <c r="J31" s="34"/>
      <c r="K31" s="15"/>
      <c r="L31" s="31"/>
      <c r="M31" s="32"/>
    </row>
    <row r="32" spans="1:15" ht="15" thickBot="1" x14ac:dyDescent="0.25">
      <c r="C32" s="2" t="s">
        <v>29</v>
      </c>
      <c r="D32" s="2"/>
      <c r="E32" s="23">
        <f>SUM(E29:E31)</f>
        <v>1932.6508359999998</v>
      </c>
      <c r="F32" s="24">
        <f>SUM(F29:F31)</f>
        <v>1754</v>
      </c>
      <c r="G32" s="12"/>
      <c r="H32" s="34"/>
      <c r="I32" s="62" t="s">
        <v>92</v>
      </c>
      <c r="J32" s="34"/>
      <c r="K32" s="15"/>
      <c r="L32" s="35">
        <v>5</v>
      </c>
      <c r="M32" s="36">
        <v>5</v>
      </c>
    </row>
    <row r="33" spans="3:13" ht="15" thickTop="1" x14ac:dyDescent="0.2">
      <c r="I33" s="13"/>
      <c r="K33" s="15"/>
      <c r="L33" s="31">
        <f>SUM(L17:L32)</f>
        <v>25</v>
      </c>
      <c r="M33" s="32">
        <f>SUM(M17:M32)</f>
        <v>25</v>
      </c>
    </row>
    <row r="34" spans="3:13" x14ac:dyDescent="0.2">
      <c r="E34" s="20"/>
      <c r="F34" s="20"/>
      <c r="G34" s="20"/>
    </row>
    <row r="35" spans="3:13" x14ac:dyDescent="0.2">
      <c r="C35" s="126" t="s">
        <v>8</v>
      </c>
      <c r="D35" s="126"/>
      <c r="E35" s="126"/>
      <c r="F35" s="5"/>
      <c r="L35" s="20"/>
    </row>
    <row r="36" spans="3:13" x14ac:dyDescent="0.2">
      <c r="C36" s="126" t="s">
        <v>34</v>
      </c>
      <c r="D36" s="126"/>
      <c r="E36" s="126"/>
      <c r="F36" s="5"/>
      <c r="L36" s="28"/>
    </row>
    <row r="37" spans="3:13" x14ac:dyDescent="0.2">
      <c r="L37" s="20"/>
    </row>
    <row r="38" spans="3:13" x14ac:dyDescent="0.2">
      <c r="C38" s="2"/>
      <c r="D38" s="2"/>
      <c r="E38" s="37">
        <v>2019</v>
      </c>
      <c r="F38" s="37">
        <v>2018</v>
      </c>
      <c r="G38" s="9"/>
    </row>
    <row r="39" spans="3:13" x14ac:dyDescent="0.2">
      <c r="C39" s="2"/>
      <c r="D39" s="2"/>
      <c r="E39" s="2"/>
      <c r="F39" s="2"/>
      <c r="G39" s="9"/>
      <c r="K39" s="38"/>
      <c r="L39" s="38"/>
    </row>
    <row r="40" spans="3:13" x14ac:dyDescent="0.2">
      <c r="C40" s="2" t="s">
        <v>36</v>
      </c>
      <c r="D40" s="2"/>
      <c r="E40" s="10">
        <v>2190.1</v>
      </c>
      <c r="F40" s="11">
        <v>1991</v>
      </c>
      <c r="G40" s="39"/>
    </row>
    <row r="41" spans="3:13" x14ac:dyDescent="0.2">
      <c r="C41" s="2" t="s">
        <v>37</v>
      </c>
      <c r="D41" s="2"/>
      <c r="E41" s="10">
        <v>1467.4</v>
      </c>
      <c r="F41" s="11">
        <v>1334</v>
      </c>
      <c r="G41" s="39"/>
    </row>
    <row r="42" spans="3:13" x14ac:dyDescent="0.2">
      <c r="C42" s="2" t="s">
        <v>38</v>
      </c>
      <c r="D42" s="2"/>
      <c r="E42" s="10">
        <v>328.9</v>
      </c>
      <c r="F42" s="11">
        <v>299</v>
      </c>
      <c r="G42" s="39"/>
    </row>
    <row r="43" spans="3:13" x14ac:dyDescent="0.2">
      <c r="C43" s="2" t="s">
        <v>39</v>
      </c>
      <c r="D43" s="2"/>
      <c r="E43" s="10">
        <v>130.9</v>
      </c>
      <c r="F43" s="11">
        <v>119</v>
      </c>
      <c r="G43" s="39"/>
    </row>
    <row r="44" spans="3:13" x14ac:dyDescent="0.2">
      <c r="C44" s="2" t="s">
        <v>40</v>
      </c>
      <c r="D44" s="2"/>
      <c r="E44" s="17">
        <v>88</v>
      </c>
      <c r="F44" s="18">
        <v>80</v>
      </c>
      <c r="G44" s="39"/>
    </row>
    <row r="45" spans="3:13" x14ac:dyDescent="0.2">
      <c r="C45" s="2" t="s">
        <v>41</v>
      </c>
      <c r="D45" s="2"/>
      <c r="E45" s="40">
        <f>SUM(E41:E44)</f>
        <v>2015.2000000000003</v>
      </c>
      <c r="F45" s="18">
        <f>SUM(F41:F44)</f>
        <v>1832</v>
      </c>
      <c r="G45" s="39"/>
    </row>
    <row r="46" spans="3:13" x14ac:dyDescent="0.2">
      <c r="C46" s="2" t="s">
        <v>42</v>
      </c>
      <c r="D46" s="2"/>
      <c r="E46" s="10">
        <f>E40-E45</f>
        <v>174.89999999999964</v>
      </c>
      <c r="F46" s="11">
        <f>F40-F45</f>
        <v>159</v>
      </c>
      <c r="G46" s="39"/>
    </row>
    <row r="47" spans="3:13" x14ac:dyDescent="0.2">
      <c r="C47" s="2" t="s">
        <v>43</v>
      </c>
      <c r="D47" s="2"/>
      <c r="E47" s="17">
        <f>E8*(E27+E24)</f>
        <v>47.308000000000007</v>
      </c>
      <c r="F47" s="18">
        <f>F8*(F24+F27)</f>
        <v>40</v>
      </c>
      <c r="G47" s="39"/>
    </row>
    <row r="48" spans="3:13" x14ac:dyDescent="0.2">
      <c r="C48" s="2" t="s">
        <v>44</v>
      </c>
      <c r="D48" s="2"/>
      <c r="E48" s="10">
        <f>E46-E47</f>
        <v>127.59199999999963</v>
      </c>
      <c r="F48" s="11">
        <f>F46-F47</f>
        <v>119</v>
      </c>
      <c r="G48" s="39"/>
    </row>
    <row r="49" spans="3:7" x14ac:dyDescent="0.2">
      <c r="C49" s="2" t="s">
        <v>45</v>
      </c>
      <c r="D49" s="2"/>
      <c r="E49" s="17">
        <f>E48*E5</f>
        <v>34.449839999999902</v>
      </c>
      <c r="F49" s="18">
        <f>F48*F5</f>
        <v>32.130000000000003</v>
      </c>
      <c r="G49" s="39"/>
    </row>
    <row r="50" spans="3:7" ht="15" thickBot="1" x14ac:dyDescent="0.25">
      <c r="C50" s="2" t="s">
        <v>46</v>
      </c>
      <c r="D50" s="2"/>
      <c r="E50" s="23">
        <f>E48-E49</f>
        <v>93.142159999999734</v>
      </c>
      <c r="F50" s="24">
        <f>F48-F49</f>
        <v>86.87</v>
      </c>
      <c r="G50" s="39"/>
    </row>
    <row r="51" spans="3:7" ht="15" thickTop="1" x14ac:dyDescent="0.2">
      <c r="C51" s="2"/>
      <c r="D51" s="2"/>
      <c r="E51" s="10"/>
      <c r="F51" s="11"/>
    </row>
    <row r="52" spans="3:7" x14ac:dyDescent="0.2">
      <c r="C52" s="2" t="s">
        <v>47</v>
      </c>
      <c r="D52" s="2"/>
      <c r="E52" s="10">
        <f>E50*E7</f>
        <v>13.97132399999996</v>
      </c>
      <c r="F52" s="11">
        <f>F7*F50</f>
        <v>13.0305</v>
      </c>
    </row>
    <row r="53" spans="3:7" x14ac:dyDescent="0.2">
      <c r="C53" s="2" t="s">
        <v>48</v>
      </c>
      <c r="D53" s="2"/>
      <c r="E53" s="10">
        <f>E50-E52</f>
        <v>79.170835999999781</v>
      </c>
      <c r="F53" s="11">
        <f>F50-F52</f>
        <v>73.839500000000001</v>
      </c>
      <c r="G53" s="20"/>
    </row>
    <row r="54" spans="3:7" x14ac:dyDescent="0.2">
      <c r="E54" s="20"/>
      <c r="G54" s="20"/>
    </row>
    <row r="55" spans="3:7" x14ac:dyDescent="0.2">
      <c r="G55" s="20"/>
    </row>
    <row r="56" spans="3:7" x14ac:dyDescent="0.2">
      <c r="C56" s="1" t="s">
        <v>7</v>
      </c>
      <c r="G56" s="20"/>
    </row>
    <row r="57" spans="3:7" x14ac:dyDescent="0.2">
      <c r="C57" s="1" t="s">
        <v>6</v>
      </c>
      <c r="G57" s="20"/>
    </row>
    <row r="58" spans="3:7" x14ac:dyDescent="0.2">
      <c r="G58" s="20"/>
    </row>
    <row r="59" spans="3:7" x14ac:dyDescent="0.2">
      <c r="C59" s="126" t="s">
        <v>8</v>
      </c>
      <c r="D59" s="126"/>
      <c r="E59" s="126"/>
      <c r="F59" s="126"/>
      <c r="G59" s="20"/>
    </row>
    <row r="60" spans="3:7" x14ac:dyDescent="0.2">
      <c r="G60" s="34"/>
    </row>
    <row r="61" spans="3:7" x14ac:dyDescent="0.2">
      <c r="C61" s="125" t="s">
        <v>49</v>
      </c>
      <c r="D61" s="125"/>
      <c r="E61" s="125"/>
      <c r="F61" s="37"/>
      <c r="G61" s="41"/>
    </row>
    <row r="62" spans="3:7" x14ac:dyDescent="0.2">
      <c r="C62" s="2"/>
      <c r="D62" s="2"/>
      <c r="E62" s="2"/>
      <c r="F62" s="2"/>
      <c r="G62" s="2"/>
    </row>
    <row r="63" spans="3:7" s="38" customFormat="1" ht="45" x14ac:dyDescent="0.2">
      <c r="C63" s="42"/>
      <c r="D63" s="43" t="s">
        <v>50</v>
      </c>
      <c r="E63" s="43" t="s">
        <v>51</v>
      </c>
      <c r="F63" s="43" t="s">
        <v>52</v>
      </c>
      <c r="G63" s="44" t="s">
        <v>53</v>
      </c>
    </row>
    <row r="64" spans="3:7" x14ac:dyDescent="0.2">
      <c r="C64" s="2" t="s">
        <v>54</v>
      </c>
      <c r="D64" s="9">
        <v>100</v>
      </c>
      <c r="E64" s="45">
        <f>F30</f>
        <v>300</v>
      </c>
      <c r="F64" s="46">
        <f>F31</f>
        <v>689</v>
      </c>
      <c r="G64" s="46">
        <f>SUM(D64:F64)</f>
        <v>1089</v>
      </c>
    </row>
    <row r="65" spans="3:7" x14ac:dyDescent="0.2">
      <c r="C65" s="2" t="s">
        <v>55</v>
      </c>
      <c r="D65" s="9"/>
      <c r="E65" s="9"/>
      <c r="F65" s="46">
        <f>E50</f>
        <v>93.142159999999734</v>
      </c>
      <c r="G65" s="9"/>
    </row>
    <row r="66" spans="3:7" x14ac:dyDescent="0.2">
      <c r="C66" s="2" t="s">
        <v>56</v>
      </c>
      <c r="D66" s="9"/>
      <c r="E66" s="9"/>
      <c r="F66" s="46">
        <f>E52*E9</f>
        <v>-13.97132399999996</v>
      </c>
      <c r="G66" s="9"/>
    </row>
    <row r="67" spans="3:7" x14ac:dyDescent="0.2">
      <c r="C67" s="2" t="s">
        <v>57</v>
      </c>
      <c r="D67" s="47"/>
      <c r="E67" s="47"/>
      <c r="F67" s="48"/>
      <c r="G67" s="49">
        <f>E53</f>
        <v>79.170835999999781</v>
      </c>
    </row>
    <row r="68" spans="3:7" x14ac:dyDescent="0.2">
      <c r="C68" s="2" t="s">
        <v>58</v>
      </c>
      <c r="D68" s="9">
        <f>SUM(D64:D67)</f>
        <v>100</v>
      </c>
      <c r="E68" s="45">
        <f>SUM(E64:E67)</f>
        <v>300</v>
      </c>
      <c r="F68" s="46">
        <f>SUM(F64:F67)</f>
        <v>768.17083599999978</v>
      </c>
      <c r="G68" s="50">
        <f>SUM(G64:G67)</f>
        <v>1168.1708359999998</v>
      </c>
    </row>
    <row r="69" spans="3:7" x14ac:dyDescent="0.2">
      <c r="G69" s="34"/>
    </row>
    <row r="70" spans="3:7" x14ac:dyDescent="0.2">
      <c r="G70" s="34"/>
    </row>
    <row r="71" spans="3:7" x14ac:dyDescent="0.2">
      <c r="G71" s="34"/>
    </row>
    <row r="73" spans="3:7" x14ac:dyDescent="0.2">
      <c r="G73" s="34"/>
    </row>
  </sheetData>
  <mergeCells count="7">
    <mergeCell ref="C61:E61"/>
    <mergeCell ref="C12:E12"/>
    <mergeCell ref="I12:L12"/>
    <mergeCell ref="C13:E13"/>
    <mergeCell ref="C35:E35"/>
    <mergeCell ref="C36:E36"/>
    <mergeCell ref="C59:F59"/>
  </mergeCells>
  <pageMargins left="0.75" right="0.75" top="1" bottom="1"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9348-7B30-4B6B-ACB7-FBC951418EA5}">
  <sheetPr>
    <pageSetUpPr fitToPage="1"/>
  </sheetPr>
  <dimension ref="A1:U64"/>
  <sheetViews>
    <sheetView topLeftCell="A16" workbookViewId="0">
      <selection activeCell="J65" sqref="J65"/>
    </sheetView>
  </sheetViews>
  <sheetFormatPr baseColWidth="10" defaultColWidth="9.1640625" defaultRowHeight="15" x14ac:dyDescent="0.2"/>
  <cols>
    <col min="1" max="2" width="9.1640625" style="63"/>
    <col min="3" max="3" width="52.33203125" style="63" bestFit="1" customWidth="1"/>
    <col min="4" max="4" width="15.33203125" style="63" bestFit="1" customWidth="1"/>
    <col min="5" max="5" width="12.33203125" style="63" bestFit="1" customWidth="1"/>
    <col min="6" max="6" width="18" style="63" bestFit="1" customWidth="1"/>
    <col min="7" max="9" width="11.5" style="63" bestFit="1" customWidth="1"/>
    <col min="10" max="16384" width="9.1640625" style="63"/>
  </cols>
  <sheetData>
    <row r="1" spans="1:21" x14ac:dyDescent="0.2">
      <c r="A1" s="63" t="s">
        <v>93</v>
      </c>
    </row>
    <row r="4" spans="1:21" x14ac:dyDescent="0.2">
      <c r="C4" s="64" t="s">
        <v>94</v>
      </c>
      <c r="D4" s="65">
        <v>100000</v>
      </c>
      <c r="E4" s="64"/>
      <c r="F4" s="64"/>
      <c r="G4" s="64"/>
      <c r="H4" s="64"/>
      <c r="I4" s="64"/>
    </row>
    <row r="5" spans="1:21" x14ac:dyDescent="0.2">
      <c r="C5" s="64" t="s">
        <v>95</v>
      </c>
      <c r="D5" s="65">
        <v>3500</v>
      </c>
      <c r="E5" s="64"/>
      <c r="F5" s="64"/>
      <c r="G5" s="64"/>
      <c r="H5" s="64"/>
      <c r="I5" s="64"/>
    </row>
    <row r="6" spans="1:21" x14ac:dyDescent="0.2">
      <c r="C6" s="64" t="s">
        <v>96</v>
      </c>
      <c r="D6" s="65">
        <v>650000</v>
      </c>
      <c r="E6" s="64"/>
      <c r="F6" s="64"/>
      <c r="G6" s="64"/>
      <c r="H6" s="64"/>
      <c r="I6" s="64"/>
    </row>
    <row r="7" spans="1:21" x14ac:dyDescent="0.2">
      <c r="C7" s="64" t="s">
        <v>97</v>
      </c>
      <c r="D7" s="66">
        <v>15000</v>
      </c>
      <c r="E7" s="64"/>
      <c r="F7" s="64"/>
      <c r="G7" s="64"/>
      <c r="H7" s="64"/>
      <c r="I7" s="64"/>
    </row>
    <row r="8" spans="1:21" x14ac:dyDescent="0.2">
      <c r="C8" s="64" t="s">
        <v>98</v>
      </c>
      <c r="D8" s="67">
        <v>0.4</v>
      </c>
      <c r="E8" s="64"/>
      <c r="F8" s="64"/>
      <c r="G8" s="64"/>
      <c r="H8" s="64"/>
      <c r="I8" s="64"/>
    </row>
    <row r="9" spans="1:21" x14ac:dyDescent="0.2">
      <c r="C9" s="64" t="s">
        <v>99</v>
      </c>
      <c r="D9" s="65">
        <v>16500</v>
      </c>
      <c r="E9" s="64"/>
      <c r="F9" s="64"/>
      <c r="G9" s="64"/>
      <c r="H9" s="64"/>
      <c r="I9" s="64"/>
    </row>
    <row r="10" spans="1:21" x14ac:dyDescent="0.2">
      <c r="C10" s="64" t="s">
        <v>100</v>
      </c>
      <c r="D10" s="65">
        <f>D11*D4</f>
        <v>6000</v>
      </c>
      <c r="E10" s="64"/>
      <c r="F10" s="64"/>
      <c r="G10" s="64"/>
      <c r="H10" s="64"/>
      <c r="I10" s="64"/>
      <c r="U10" s="68"/>
    </row>
    <row r="11" spans="1:21" x14ac:dyDescent="0.2">
      <c r="C11" s="64" t="s">
        <v>101</v>
      </c>
      <c r="D11" s="69">
        <v>0.06</v>
      </c>
      <c r="E11" s="64"/>
      <c r="F11" s="64"/>
      <c r="G11" s="64"/>
      <c r="H11" s="64"/>
      <c r="I11" s="64"/>
      <c r="U11" s="68"/>
    </row>
    <row r="12" spans="1:21" x14ac:dyDescent="0.2">
      <c r="C12" s="64" t="s">
        <v>102</v>
      </c>
      <c r="D12" s="64">
        <v>4</v>
      </c>
      <c r="E12" s="64"/>
      <c r="F12" s="64"/>
      <c r="G12" s="64"/>
      <c r="H12" s="64"/>
      <c r="I12" s="64"/>
      <c r="U12" s="68"/>
    </row>
    <row r="13" spans="1:21" x14ac:dyDescent="0.2">
      <c r="C13" s="64" t="s">
        <v>103</v>
      </c>
      <c r="D13" s="70">
        <v>0.27</v>
      </c>
      <c r="E13" s="64"/>
      <c r="F13" s="64"/>
      <c r="G13" s="64"/>
      <c r="H13" s="64"/>
      <c r="I13" s="64"/>
      <c r="U13" s="68"/>
    </row>
    <row r="14" spans="1:21" x14ac:dyDescent="0.2">
      <c r="C14" s="64" t="s">
        <v>104</v>
      </c>
      <c r="D14" s="70">
        <v>0.11</v>
      </c>
      <c r="E14" s="64"/>
      <c r="F14" s="64"/>
      <c r="G14" s="64"/>
      <c r="H14" s="64"/>
      <c r="I14" s="64"/>
    </row>
    <row r="15" spans="1:21" x14ac:dyDescent="0.2">
      <c r="C15" s="64"/>
      <c r="D15" s="64"/>
      <c r="E15" s="64"/>
      <c r="F15" s="64"/>
      <c r="G15" s="64"/>
      <c r="H15" s="64"/>
      <c r="I15" s="64"/>
    </row>
    <row r="16" spans="1:21" x14ac:dyDescent="0.2">
      <c r="C16" s="64" t="s">
        <v>7</v>
      </c>
      <c r="D16" s="64">
        <v>1</v>
      </c>
      <c r="E16" s="64"/>
      <c r="F16" s="64"/>
      <c r="G16" s="64"/>
      <c r="H16" s="64"/>
      <c r="I16" s="64"/>
    </row>
    <row r="17" spans="3:10" x14ac:dyDescent="0.2">
      <c r="C17" s="64" t="s">
        <v>6</v>
      </c>
      <c r="D17" s="64">
        <v>-1</v>
      </c>
      <c r="E17" s="64"/>
      <c r="F17" s="64"/>
      <c r="G17" s="64"/>
      <c r="H17" s="64"/>
      <c r="I17" s="64"/>
    </row>
    <row r="18" spans="3:10" x14ac:dyDescent="0.2">
      <c r="C18" s="64" t="s">
        <v>105</v>
      </c>
      <c r="D18" s="64">
        <v>2</v>
      </c>
      <c r="E18" s="64"/>
      <c r="F18" s="71"/>
      <c r="G18" s="71"/>
      <c r="H18" s="71"/>
      <c r="I18" s="71"/>
      <c r="J18" s="72"/>
    </row>
    <row r="19" spans="3:10" x14ac:dyDescent="0.2">
      <c r="E19" s="73"/>
      <c r="F19" s="73">
        <v>1</v>
      </c>
      <c r="G19" s="73">
        <v>2</v>
      </c>
      <c r="H19" s="73">
        <v>3</v>
      </c>
      <c r="I19" s="73">
        <v>4</v>
      </c>
    </row>
    <row r="20" spans="3:10" x14ac:dyDescent="0.2">
      <c r="E20" s="73" t="s">
        <v>106</v>
      </c>
      <c r="F20" s="73" t="s">
        <v>107</v>
      </c>
      <c r="G20" s="73" t="s">
        <v>108</v>
      </c>
      <c r="H20" s="73" t="s">
        <v>109</v>
      </c>
      <c r="I20" s="73" t="s">
        <v>110</v>
      </c>
    </row>
    <row r="22" spans="3:10" x14ac:dyDescent="0.2">
      <c r="C22" s="63" t="s">
        <v>111</v>
      </c>
      <c r="E22" s="74">
        <f>(D4+D5)*(D16-D13)</f>
        <v>75555</v>
      </c>
    </row>
    <row r="23" spans="3:10" x14ac:dyDescent="0.2">
      <c r="C23" s="63" t="s">
        <v>112</v>
      </c>
      <c r="E23" s="74">
        <f>D9</f>
        <v>16500</v>
      </c>
    </row>
    <row r="25" spans="3:10" x14ac:dyDescent="0.2">
      <c r="C25" s="63" t="s">
        <v>113</v>
      </c>
      <c r="F25" s="74">
        <f>$D$6</f>
        <v>650000</v>
      </c>
      <c r="G25" s="74">
        <f t="shared" ref="G25:I25" si="0">$D$6</f>
        <v>650000</v>
      </c>
      <c r="H25" s="74">
        <f t="shared" si="0"/>
        <v>650000</v>
      </c>
      <c r="I25" s="74">
        <f t="shared" si="0"/>
        <v>650000</v>
      </c>
    </row>
    <row r="26" spans="3:10" x14ac:dyDescent="0.2">
      <c r="C26" s="63" t="s">
        <v>114</v>
      </c>
      <c r="F26" s="74">
        <f>$D$8*$D$6</f>
        <v>260000</v>
      </c>
      <c r="G26" s="74">
        <f>$D$8*$D$6</f>
        <v>260000</v>
      </c>
      <c r="H26" s="74">
        <f>$D$8*$D$6</f>
        <v>260000</v>
      </c>
      <c r="I26" s="74">
        <f>$D$8*$D$6</f>
        <v>260000</v>
      </c>
    </row>
    <row r="27" spans="3:10" x14ac:dyDescent="0.2">
      <c r="C27" s="63" t="s">
        <v>115</v>
      </c>
      <c r="F27" s="74">
        <f>$D$7</f>
        <v>15000</v>
      </c>
      <c r="G27" s="74">
        <f t="shared" ref="G27:I27" si="1">$D$7</f>
        <v>15000</v>
      </c>
      <c r="H27" s="74">
        <f t="shared" si="1"/>
        <v>15000</v>
      </c>
      <c r="I27" s="74">
        <f t="shared" si="1"/>
        <v>15000</v>
      </c>
    </row>
    <row r="28" spans="3:10" x14ac:dyDescent="0.2">
      <c r="C28" s="63" t="s">
        <v>116</v>
      </c>
      <c r="F28" s="74">
        <f>SUM(F26:F27)</f>
        <v>275000</v>
      </c>
      <c r="G28" s="74">
        <f>SUM(G26:G27)</f>
        <v>275000</v>
      </c>
      <c r="H28" s="74">
        <f>SUM(H26:H27)</f>
        <v>275000</v>
      </c>
      <c r="I28" s="74">
        <f>SUM(I26:I27)</f>
        <v>275000</v>
      </c>
    </row>
    <row r="29" spans="3:10" x14ac:dyDescent="0.2">
      <c r="F29" s="74"/>
      <c r="G29" s="74"/>
      <c r="H29" s="74"/>
      <c r="I29" s="74"/>
    </row>
    <row r="30" spans="3:10" x14ac:dyDescent="0.2">
      <c r="C30" s="63" t="s">
        <v>117</v>
      </c>
      <c r="F30" s="74">
        <f>F25-F28</f>
        <v>375000</v>
      </c>
      <c r="G30" s="74">
        <f>G25-G28</f>
        <v>375000</v>
      </c>
      <c r="H30" s="74">
        <f>H25-H28</f>
        <v>375000</v>
      </c>
      <c r="I30" s="74">
        <f>I25-I28</f>
        <v>375000</v>
      </c>
    </row>
    <row r="31" spans="3:10" x14ac:dyDescent="0.2">
      <c r="C31" s="63" t="s">
        <v>45</v>
      </c>
      <c r="F31" s="75">
        <f>$D$13*F$30</f>
        <v>101250</v>
      </c>
      <c r="G31" s="75">
        <f>$D$13*G$30</f>
        <v>101250</v>
      </c>
      <c r="H31" s="75">
        <f>$D$13*H$30</f>
        <v>101250</v>
      </c>
      <c r="I31" s="75">
        <f>$D$13*I$30</f>
        <v>101250</v>
      </c>
    </row>
    <row r="32" spans="3:10" x14ac:dyDescent="0.2">
      <c r="C32" s="63" t="s">
        <v>118</v>
      </c>
      <c r="F32" s="74">
        <f>F30-F31</f>
        <v>273750</v>
      </c>
      <c r="G32" s="74">
        <f t="shared" ref="G32:I32" si="2">G30-G31</f>
        <v>273750</v>
      </c>
      <c r="H32" s="74">
        <f t="shared" si="2"/>
        <v>273750</v>
      </c>
      <c r="I32" s="74">
        <f t="shared" si="2"/>
        <v>273750</v>
      </c>
    </row>
    <row r="33" spans="2:9" x14ac:dyDescent="0.2">
      <c r="C33" s="63" t="s">
        <v>119</v>
      </c>
      <c r="F33" s="74">
        <f>F32</f>
        <v>273750</v>
      </c>
      <c r="G33" s="74">
        <f t="shared" ref="G33:I33" si="3">G32</f>
        <v>273750</v>
      </c>
      <c r="H33" s="74">
        <f t="shared" si="3"/>
        <v>273750</v>
      </c>
      <c r="I33" s="74">
        <f t="shared" si="3"/>
        <v>273750</v>
      </c>
    </row>
    <row r="35" spans="2:9" x14ac:dyDescent="0.2">
      <c r="C35" s="63" t="s">
        <v>120</v>
      </c>
      <c r="E35" s="72"/>
      <c r="I35" s="74">
        <f>E23</f>
        <v>16500</v>
      </c>
    </row>
    <row r="36" spans="2:9" x14ac:dyDescent="0.2">
      <c r="C36" s="63" t="s">
        <v>121</v>
      </c>
      <c r="I36" s="76">
        <f>D10*(D16-D13)</f>
        <v>4380</v>
      </c>
    </row>
    <row r="37" spans="2:9" x14ac:dyDescent="0.2">
      <c r="E37" s="77"/>
      <c r="F37" s="78"/>
      <c r="G37" s="78"/>
      <c r="H37" s="78"/>
      <c r="I37" s="78"/>
    </row>
    <row r="38" spans="2:9" ht="16" thickBot="1" x14ac:dyDescent="0.25">
      <c r="B38" s="68"/>
      <c r="C38" s="63" t="s">
        <v>122</v>
      </c>
      <c r="E38" s="79">
        <f>(E22+E23)*D17</f>
        <v>-92055</v>
      </c>
      <c r="F38" s="79">
        <f>F33-F37</f>
        <v>273750</v>
      </c>
      <c r="G38" s="79">
        <f>G33-G37</f>
        <v>273750</v>
      </c>
      <c r="H38" s="79">
        <f>H33-H37</f>
        <v>273750</v>
      </c>
      <c r="I38" s="79">
        <f>I33+I35+I36-I37</f>
        <v>294630</v>
      </c>
    </row>
    <row r="39" spans="2:9" ht="16" thickTop="1" x14ac:dyDescent="0.2"/>
    <row r="40" spans="2:9" x14ac:dyDescent="0.2">
      <c r="C40" s="63" t="s">
        <v>123</v>
      </c>
      <c r="E40" s="74">
        <f>E38</f>
        <v>-92055</v>
      </c>
      <c r="F40" s="74">
        <f>E40+F38</f>
        <v>181695</v>
      </c>
      <c r="G40" s="74">
        <f t="shared" ref="G40:I40" si="4">F40+G38</f>
        <v>455445</v>
      </c>
      <c r="H40" s="74">
        <f t="shared" si="4"/>
        <v>729195</v>
      </c>
      <c r="I40" s="74">
        <f t="shared" si="4"/>
        <v>1023825</v>
      </c>
    </row>
    <row r="41" spans="2:9" x14ac:dyDescent="0.2">
      <c r="C41" s="63" t="s">
        <v>124</v>
      </c>
      <c r="E41" s="74">
        <f>E38</f>
        <v>-92055</v>
      </c>
      <c r="F41" s="74">
        <f>F$38/($D$16+$D$14)^G$19</f>
        <v>222181.64110055999</v>
      </c>
      <c r="G41" s="74">
        <f>G$38/($D$16+$D$14)^H$19</f>
        <v>200163.64063113512</v>
      </c>
      <c r="H41" s="74">
        <f>H$38/($D$16+$D$14)^I$19</f>
        <v>180327.60417219379</v>
      </c>
      <c r="I41" s="74">
        <f>I$38/($D$16+$D$14)^J$19</f>
        <v>294630</v>
      </c>
    </row>
    <row r="42" spans="2:9" x14ac:dyDescent="0.2">
      <c r="C42" s="63" t="s">
        <v>125</v>
      </c>
      <c r="E42" s="74">
        <f>E41</f>
        <v>-92055</v>
      </c>
      <c r="F42" s="74">
        <f>E42+F41</f>
        <v>130126.64110055999</v>
      </c>
      <c r="G42" s="74">
        <f t="shared" ref="G42:I42" si="5">F42+G41</f>
        <v>330290.28173169511</v>
      </c>
      <c r="H42" s="74">
        <f t="shared" si="5"/>
        <v>510617.88590388891</v>
      </c>
      <c r="I42" s="74">
        <f t="shared" si="5"/>
        <v>805247.88590388885</v>
      </c>
    </row>
    <row r="45" spans="2:9" ht="32" x14ac:dyDescent="0.2">
      <c r="C45" s="63" t="s">
        <v>126</v>
      </c>
      <c r="D45" s="121">
        <f>NPV(D14,E38:I38)*(D16+D14)</f>
        <v>770993.81026565819</v>
      </c>
      <c r="G45" s="80" t="s">
        <v>22</v>
      </c>
      <c r="H45" s="81" t="s">
        <v>23</v>
      </c>
    </row>
    <row r="46" spans="2:9" x14ac:dyDescent="0.2">
      <c r="C46" s="63" t="s">
        <v>127</v>
      </c>
      <c r="D46" s="122">
        <f>IRR(E38:I38)</f>
        <v>2.9644491490236344</v>
      </c>
      <c r="E46" s="72"/>
      <c r="F46" s="72" t="s">
        <v>122</v>
      </c>
      <c r="G46" s="82">
        <v>15</v>
      </c>
      <c r="H46" s="83">
        <v>15</v>
      </c>
    </row>
    <row r="47" spans="2:9" x14ac:dyDescent="0.2">
      <c r="B47" s="68"/>
      <c r="C47" s="63" t="s">
        <v>128</v>
      </c>
      <c r="D47" s="122">
        <f>MIRR(E38:I38,D14,D14)</f>
        <v>0.94231638029717835</v>
      </c>
      <c r="F47" s="63" t="s">
        <v>129</v>
      </c>
      <c r="G47" s="82">
        <v>5</v>
      </c>
      <c r="H47" s="83">
        <v>5</v>
      </c>
    </row>
    <row r="48" spans="2:9" x14ac:dyDescent="0.2">
      <c r="C48" s="63" t="s">
        <v>130</v>
      </c>
      <c r="D48" s="123">
        <f>PERCENTRANK(E40:I40,I19,5)*I19</f>
        <v>0.33628000000000002</v>
      </c>
      <c r="F48" s="63" t="s">
        <v>131</v>
      </c>
      <c r="G48" s="84">
        <v>5</v>
      </c>
      <c r="H48" s="85">
        <v>5</v>
      </c>
    </row>
    <row r="49" spans="3:8" x14ac:dyDescent="0.2">
      <c r="C49" s="63" t="s">
        <v>132</v>
      </c>
      <c r="D49" s="123">
        <f>PERCENTRANK(E42:I42,I19,5)*I19</f>
        <v>0.41432000000000002</v>
      </c>
      <c r="F49" s="63" t="s">
        <v>133</v>
      </c>
      <c r="G49" s="82">
        <f>SUM(G46:G48)</f>
        <v>25</v>
      </c>
      <c r="H49" s="83">
        <f>SUM(H46:H48)</f>
        <v>25</v>
      </c>
    </row>
    <row r="50" spans="3:8" x14ac:dyDescent="0.2">
      <c r="C50" s="63" t="s">
        <v>134</v>
      </c>
      <c r="D50" s="124">
        <f>ABS(D52/E38)</f>
        <v>9.3753604938966717</v>
      </c>
    </row>
    <row r="52" spans="3:8" x14ac:dyDescent="0.2">
      <c r="C52" s="63" t="s">
        <v>135</v>
      </c>
      <c r="D52" s="121">
        <f>NPV(D14,F38:I38)</f>
        <v>863048.81026565807</v>
      </c>
    </row>
    <row r="55" spans="3:8" x14ac:dyDescent="0.2">
      <c r="F55" s="72"/>
    </row>
    <row r="56" spans="3:8" x14ac:dyDescent="0.2">
      <c r="E56" s="86"/>
      <c r="F56" s="86"/>
    </row>
    <row r="57" spans="3:8" x14ac:dyDescent="0.2">
      <c r="E57" s="86"/>
      <c r="F57" s="86"/>
    </row>
    <row r="58" spans="3:8" x14ac:dyDescent="0.2">
      <c r="E58" s="86"/>
      <c r="F58" s="86"/>
    </row>
    <row r="61" spans="3:8" x14ac:dyDescent="0.2">
      <c r="F61" s="86"/>
    </row>
    <row r="62" spans="3:8" x14ac:dyDescent="0.2">
      <c r="F62" s="86"/>
    </row>
    <row r="63" spans="3:8" x14ac:dyDescent="0.2">
      <c r="F63" s="86"/>
    </row>
    <row r="64" spans="3:8" x14ac:dyDescent="0.2">
      <c r="F64" s="87"/>
    </row>
  </sheetData>
  <pageMargins left="0.7" right="0.7" top="0.75" bottom="0.75" header="0.3" footer="0.3"/>
  <pageSetup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E6FE0-410D-40FD-85B1-4C25F0617CBC}">
  <sheetPr>
    <pageSetUpPr fitToPage="1"/>
  </sheetPr>
  <dimension ref="A3:Q75"/>
  <sheetViews>
    <sheetView tabSelected="1" topLeftCell="A34" zoomScale="136" zoomScaleNormal="136" workbookViewId="0">
      <selection activeCell="H60" sqref="H60"/>
    </sheetView>
  </sheetViews>
  <sheetFormatPr baseColWidth="10" defaultColWidth="9.1640625" defaultRowHeight="14" x14ac:dyDescent="0.2"/>
  <cols>
    <col min="1" max="2" width="9.1640625" style="1"/>
    <col min="3" max="3" width="25.6640625" style="1" customWidth="1"/>
    <col min="4" max="5" width="9.1640625" style="1"/>
    <col min="6" max="6" width="9.33203125" style="1" customWidth="1"/>
    <col min="7" max="7" width="9.83203125" style="1" customWidth="1"/>
    <col min="8" max="8" width="9.1640625" style="1"/>
    <col min="9" max="9" width="10.5" style="1" customWidth="1"/>
    <col min="10" max="10" width="8.83203125" style="1" customWidth="1"/>
    <col min="11" max="12" width="9.1640625" style="1"/>
    <col min="13" max="13" width="24.5" style="1" customWidth="1"/>
    <col min="14" max="15" width="10.5" style="1" bestFit="1" customWidth="1"/>
    <col min="16" max="16384" width="9.1640625" style="1"/>
  </cols>
  <sheetData>
    <row r="3" spans="3:4" x14ac:dyDescent="0.2">
      <c r="C3" s="129" t="s">
        <v>136</v>
      </c>
      <c r="D3" s="129"/>
    </row>
    <row r="5" spans="3:4" x14ac:dyDescent="0.2">
      <c r="C5" s="2" t="s">
        <v>45</v>
      </c>
      <c r="D5" s="3">
        <v>0.27</v>
      </c>
    </row>
    <row r="6" spans="3:4" x14ac:dyDescent="0.2">
      <c r="C6" s="2" t="s">
        <v>4</v>
      </c>
      <c r="D6" s="3">
        <v>0.15</v>
      </c>
    </row>
    <row r="7" spans="3:4" x14ac:dyDescent="0.2">
      <c r="C7" s="2" t="s">
        <v>137</v>
      </c>
      <c r="D7" s="88">
        <v>0.18</v>
      </c>
    </row>
    <row r="8" spans="3:4" x14ac:dyDescent="0.2">
      <c r="C8" s="2" t="s">
        <v>138</v>
      </c>
      <c r="D8" s="89">
        <v>4.4999999999999998E-2</v>
      </c>
    </row>
    <row r="9" spans="3:4" x14ac:dyDescent="0.2">
      <c r="C9" s="2" t="s">
        <v>139</v>
      </c>
      <c r="D9" s="89">
        <v>0.06</v>
      </c>
    </row>
    <row r="10" spans="3:4" x14ac:dyDescent="0.2">
      <c r="C10" s="2" t="s">
        <v>140</v>
      </c>
      <c r="D10" s="3">
        <v>0.5</v>
      </c>
    </row>
    <row r="11" spans="3:4" x14ac:dyDescent="0.2">
      <c r="C11" s="2" t="s">
        <v>141</v>
      </c>
      <c r="D11" s="3">
        <f>D12-D10</f>
        <v>0.5</v>
      </c>
    </row>
    <row r="12" spans="3:4" x14ac:dyDescent="0.2">
      <c r="C12" s="2" t="s">
        <v>7</v>
      </c>
      <c r="D12" s="90">
        <v>1</v>
      </c>
    </row>
    <row r="13" spans="3:4" x14ac:dyDescent="0.2">
      <c r="C13" s="2" t="s">
        <v>6</v>
      </c>
      <c r="D13" s="90">
        <v>-1</v>
      </c>
    </row>
    <row r="14" spans="3:4" x14ac:dyDescent="0.2">
      <c r="C14" s="2" t="s">
        <v>142</v>
      </c>
      <c r="D14" s="91">
        <v>365</v>
      </c>
    </row>
    <row r="15" spans="3:4" x14ac:dyDescent="0.2">
      <c r="C15" s="2" t="s">
        <v>143</v>
      </c>
      <c r="D15" s="92">
        <v>100</v>
      </c>
    </row>
    <row r="16" spans="3:4" x14ac:dyDescent="0.2">
      <c r="C16" s="2" t="s">
        <v>144</v>
      </c>
      <c r="D16" s="3">
        <v>10</v>
      </c>
    </row>
    <row r="17" spans="1:16" x14ac:dyDescent="0.2">
      <c r="C17" s="2" t="s">
        <v>145</v>
      </c>
      <c r="D17" s="3">
        <v>10</v>
      </c>
    </row>
    <row r="18" spans="1:16" ht="8.25" customHeight="1" x14ac:dyDescent="0.2">
      <c r="D18" s="22"/>
    </row>
    <row r="19" spans="1:16" ht="48" customHeight="1" x14ac:dyDescent="0.2">
      <c r="A19" s="16"/>
      <c r="B19" s="16"/>
      <c r="C19" s="93" t="s">
        <v>146</v>
      </c>
      <c r="D19" s="94"/>
      <c r="E19" s="93">
        <v>2019</v>
      </c>
      <c r="F19" s="95" t="s">
        <v>147</v>
      </c>
      <c r="G19" s="93" t="s">
        <v>148</v>
      </c>
      <c r="H19" s="93">
        <v>2020</v>
      </c>
      <c r="I19" s="93" t="s">
        <v>149</v>
      </c>
      <c r="J19" s="95" t="s">
        <v>150</v>
      </c>
    </row>
    <row r="20" spans="1:16" ht="30" x14ac:dyDescent="0.2">
      <c r="E20" s="5"/>
      <c r="F20" s="5"/>
      <c r="G20" s="5"/>
      <c r="H20" s="5"/>
      <c r="I20" s="5"/>
      <c r="J20" s="5"/>
      <c r="N20" s="16">
        <v>2019</v>
      </c>
      <c r="O20" s="96" t="s">
        <v>151</v>
      </c>
    </row>
    <row r="21" spans="1:16" x14ac:dyDescent="0.2">
      <c r="F21" s="5"/>
    </row>
    <row r="22" spans="1:16" x14ac:dyDescent="0.2">
      <c r="C22" s="2" t="s">
        <v>36</v>
      </c>
      <c r="D22" s="2"/>
      <c r="E22" s="11">
        <v>2190.1</v>
      </c>
      <c r="F22" s="97"/>
      <c r="G22" s="98"/>
      <c r="H22" s="45"/>
      <c r="J22" s="45"/>
      <c r="M22" s="5" t="s">
        <v>152</v>
      </c>
    </row>
    <row r="23" spans="1:16" x14ac:dyDescent="0.2">
      <c r="C23" s="2" t="s">
        <v>37</v>
      </c>
      <c r="D23" s="2"/>
      <c r="E23" s="11">
        <v>1467.4</v>
      </c>
      <c r="F23" s="97"/>
      <c r="G23" s="98"/>
      <c r="H23" s="45"/>
      <c r="J23" s="45"/>
      <c r="M23" s="5"/>
    </row>
    <row r="24" spans="1:16" x14ac:dyDescent="0.2">
      <c r="C24" s="2" t="s">
        <v>38</v>
      </c>
      <c r="D24" s="2"/>
      <c r="E24" s="11">
        <v>328.9</v>
      </c>
      <c r="F24" s="97"/>
      <c r="G24" s="98"/>
      <c r="H24" s="45"/>
      <c r="J24" s="45"/>
      <c r="M24" s="9" t="s">
        <v>153</v>
      </c>
      <c r="N24" s="4">
        <f>E43/E50</f>
        <v>2.7183544303797467</v>
      </c>
      <c r="O24" s="12" t="e">
        <f>J43/J50</f>
        <v>#DIV/0!</v>
      </c>
    </row>
    <row r="25" spans="1:16" x14ac:dyDescent="0.2">
      <c r="C25" s="2" t="s">
        <v>39</v>
      </c>
      <c r="D25" s="2"/>
      <c r="E25" s="11">
        <v>130.9</v>
      </c>
      <c r="F25" s="97"/>
      <c r="G25" s="98"/>
      <c r="H25" s="45"/>
      <c r="J25" s="45"/>
      <c r="M25" s="9" t="s">
        <v>154</v>
      </c>
      <c r="N25" s="4">
        <f>(E43-E42)/E50</f>
        <v>1.6075949367088607</v>
      </c>
      <c r="O25" s="12" t="e">
        <f>(J43-J42)/J50</f>
        <v>#DIV/0!</v>
      </c>
    </row>
    <row r="26" spans="1:16" x14ac:dyDescent="0.2">
      <c r="C26" s="2" t="s">
        <v>40</v>
      </c>
      <c r="D26" s="2"/>
      <c r="E26" s="18">
        <v>88</v>
      </c>
      <c r="F26" s="99"/>
      <c r="G26" s="98"/>
      <c r="H26" s="100"/>
      <c r="J26" s="100"/>
      <c r="M26" s="9" t="s">
        <v>155</v>
      </c>
      <c r="N26" s="4">
        <f>E40/E50</f>
        <v>0.21835443037974683</v>
      </c>
      <c r="O26" s="12" t="e">
        <f>J40/J50</f>
        <v>#DIV/0!</v>
      </c>
    </row>
    <row r="27" spans="1:16" x14ac:dyDescent="0.2">
      <c r="C27" s="2" t="s">
        <v>41</v>
      </c>
      <c r="D27" s="2"/>
      <c r="E27" s="18">
        <f>SUM(E23:E26)</f>
        <v>2015.2000000000003</v>
      </c>
      <c r="F27" s="101"/>
      <c r="G27" s="98"/>
      <c r="H27" s="100"/>
      <c r="J27" s="100"/>
    </row>
    <row r="28" spans="1:16" x14ac:dyDescent="0.2">
      <c r="C28" s="2" t="s">
        <v>42</v>
      </c>
      <c r="D28" s="2"/>
      <c r="E28" s="11">
        <f>E22-E27</f>
        <v>174.89999999999964</v>
      </c>
      <c r="F28" s="101"/>
      <c r="G28" s="98"/>
      <c r="H28" s="45"/>
      <c r="J28" s="45"/>
    </row>
    <row r="29" spans="1:16" x14ac:dyDescent="0.2">
      <c r="C29" s="2" t="s">
        <v>43</v>
      </c>
      <c r="D29" s="2"/>
      <c r="E29" s="18">
        <v>47.3</v>
      </c>
      <c r="F29" s="101"/>
      <c r="H29" s="100"/>
      <c r="I29" s="102"/>
      <c r="J29" s="100"/>
    </row>
    <row r="30" spans="1:16" x14ac:dyDescent="0.2">
      <c r="C30" s="2" t="s">
        <v>44</v>
      </c>
      <c r="D30" s="2"/>
      <c r="E30" s="11">
        <f>E28-E29</f>
        <v>127.59999999999964</v>
      </c>
      <c r="F30" s="101"/>
      <c r="H30" s="45"/>
      <c r="J30" s="45"/>
      <c r="M30" s="5" t="s">
        <v>156</v>
      </c>
      <c r="P30" s="1" t="s">
        <v>157</v>
      </c>
    </row>
    <row r="31" spans="1:16" x14ac:dyDescent="0.2">
      <c r="C31" s="2" t="s">
        <v>45</v>
      </c>
      <c r="D31" s="2"/>
      <c r="E31" s="18">
        <f>E30*D5</f>
        <v>34.451999999999906</v>
      </c>
      <c r="F31" s="101"/>
      <c r="H31" s="100"/>
      <c r="J31" s="100"/>
      <c r="M31" s="9" t="s">
        <v>158</v>
      </c>
      <c r="N31" s="4">
        <f>E53/E45</f>
        <v>0.43614595210946411</v>
      </c>
      <c r="O31" s="12" t="e">
        <f>J53/J45</f>
        <v>#DIV/0!</v>
      </c>
      <c r="P31" s="12" t="e">
        <f>(O31-N31)/N31</f>
        <v>#DIV/0!</v>
      </c>
    </row>
    <row r="32" spans="1:16" ht="15" thickBot="1" x14ac:dyDescent="0.25">
      <c r="C32" s="2" t="s">
        <v>46</v>
      </c>
      <c r="D32" s="2"/>
      <c r="E32" s="24">
        <f>E30-E31</f>
        <v>93.14799999999974</v>
      </c>
      <c r="F32" s="101"/>
      <c r="H32" s="103"/>
      <c r="J32" s="103"/>
      <c r="M32" s="9" t="s">
        <v>159</v>
      </c>
      <c r="N32" s="4">
        <f>(E48+E51)/(E54+E55)</f>
        <v>0.40444893832153689</v>
      </c>
      <c r="O32" s="12" t="e">
        <f>(J48+J51)/(J54+J55)</f>
        <v>#DIV/0!</v>
      </c>
      <c r="P32" s="12" t="e">
        <f>(O32-N32)/N32</f>
        <v>#DIV/0!</v>
      </c>
    </row>
    <row r="33" spans="3:17" ht="15" thickTop="1" x14ac:dyDescent="0.2">
      <c r="C33" s="2"/>
      <c r="D33" s="2"/>
      <c r="E33" s="11"/>
      <c r="F33" s="101"/>
      <c r="H33" s="28"/>
      <c r="J33" s="28"/>
      <c r="M33" s="9" t="s">
        <v>160</v>
      </c>
      <c r="N33" s="4">
        <f>E28/E29</f>
        <v>3.6976744186046435</v>
      </c>
      <c r="O33" s="12" t="e">
        <f>J28/J29</f>
        <v>#DIV/0!</v>
      </c>
      <c r="P33" s="9"/>
    </row>
    <row r="34" spans="3:17" x14ac:dyDescent="0.2">
      <c r="C34" s="2" t="s">
        <v>47</v>
      </c>
      <c r="D34" s="2"/>
      <c r="E34" s="11">
        <f>E32*D6</f>
        <v>13.97219999999996</v>
      </c>
      <c r="F34" s="101"/>
      <c r="H34" s="45"/>
      <c r="J34" s="45"/>
      <c r="Q34" s="34"/>
    </row>
    <row r="35" spans="3:17" x14ac:dyDescent="0.2">
      <c r="C35" s="2" t="s">
        <v>48</v>
      </c>
      <c r="D35" s="2"/>
      <c r="E35" s="11">
        <f>E32-E34</f>
        <v>79.175799999999782</v>
      </c>
      <c r="F35" s="101"/>
      <c r="H35" s="45"/>
      <c r="J35" s="45"/>
    </row>
    <row r="39" spans="3:17" ht="38.25" customHeight="1" x14ac:dyDescent="0.2">
      <c r="C39" s="93" t="s">
        <v>146</v>
      </c>
      <c r="D39" s="16"/>
      <c r="E39" s="93">
        <v>2019</v>
      </c>
      <c r="F39" s="16"/>
      <c r="G39" s="16"/>
      <c r="H39" s="93">
        <v>2020</v>
      </c>
      <c r="I39" s="93" t="s">
        <v>149</v>
      </c>
      <c r="J39" s="95" t="s">
        <v>150</v>
      </c>
      <c r="M39" s="96" t="s">
        <v>161</v>
      </c>
      <c r="N39" s="16">
        <v>2019</v>
      </c>
      <c r="O39" s="96" t="s">
        <v>151</v>
      </c>
    </row>
    <row r="40" spans="3:17" x14ac:dyDescent="0.2">
      <c r="C40" s="2" t="s">
        <v>10</v>
      </c>
      <c r="D40" s="2"/>
      <c r="E40" s="11">
        <v>69</v>
      </c>
      <c r="F40" s="97"/>
      <c r="G40" s="98"/>
      <c r="H40" s="45"/>
      <c r="J40" s="45"/>
      <c r="M40" s="9" t="s">
        <v>162</v>
      </c>
      <c r="N40" s="4">
        <f>E23/E42</f>
        <v>4.1806267806267812</v>
      </c>
      <c r="O40" s="12" t="e">
        <f>J23/J42</f>
        <v>#DIV/0!</v>
      </c>
    </row>
    <row r="41" spans="3:17" x14ac:dyDescent="0.2">
      <c r="C41" s="2" t="s">
        <v>11</v>
      </c>
      <c r="D41" s="2"/>
      <c r="E41" s="11">
        <v>439</v>
      </c>
      <c r="F41" s="97"/>
      <c r="G41" s="98"/>
      <c r="H41" s="45"/>
      <c r="J41" s="45"/>
      <c r="M41" s="9" t="s">
        <v>163</v>
      </c>
      <c r="N41" s="4">
        <f>D14/N40</f>
        <v>87.307482622325196</v>
      </c>
      <c r="O41" s="12" t="e">
        <f>D14/O40</f>
        <v>#DIV/0!</v>
      </c>
    </row>
    <row r="42" spans="3:17" x14ac:dyDescent="0.2">
      <c r="C42" s="2" t="s">
        <v>12</v>
      </c>
      <c r="D42" s="2"/>
      <c r="E42" s="18">
        <v>351</v>
      </c>
      <c r="F42" s="97"/>
      <c r="G42" s="98"/>
      <c r="H42" s="100"/>
      <c r="J42" s="100"/>
      <c r="M42" s="9" t="s">
        <v>164</v>
      </c>
      <c r="N42" s="4">
        <f>E22/E41</f>
        <v>4.9888382687927102</v>
      </c>
      <c r="O42" s="12" t="e">
        <f>J22/J41</f>
        <v>#DIV/0!</v>
      </c>
    </row>
    <row r="43" spans="3:17" x14ac:dyDescent="0.2">
      <c r="C43" s="21" t="s">
        <v>13</v>
      </c>
      <c r="D43" s="2"/>
      <c r="E43" s="11">
        <f>SUM(E40:E42)</f>
        <v>859</v>
      </c>
      <c r="F43" s="101"/>
      <c r="H43" s="45"/>
      <c r="J43" s="45"/>
      <c r="M43" s="9" t="s">
        <v>165</v>
      </c>
      <c r="N43" s="4">
        <f>D14/N42</f>
        <v>73.163325875530802</v>
      </c>
      <c r="O43" s="12" t="e">
        <f>D14/O42</f>
        <v>#DIV/0!</v>
      </c>
    </row>
    <row r="44" spans="3:17" x14ac:dyDescent="0.2">
      <c r="C44" s="2" t="s">
        <v>14</v>
      </c>
      <c r="D44" s="2"/>
      <c r="E44" s="18">
        <v>895</v>
      </c>
      <c r="F44" s="97"/>
      <c r="G44" s="98"/>
      <c r="H44" s="100"/>
      <c r="J44" s="100"/>
      <c r="M44" s="9" t="s">
        <v>166</v>
      </c>
      <c r="N44" s="4">
        <f>E22/E45</f>
        <v>1.2486316989737742</v>
      </c>
      <c r="O44" s="12" t="e">
        <f>J22/J45</f>
        <v>#DIV/0!</v>
      </c>
    </row>
    <row r="45" spans="3:17" ht="15" thickBot="1" x14ac:dyDescent="0.25">
      <c r="C45" s="2" t="s">
        <v>15</v>
      </c>
      <c r="D45" s="2"/>
      <c r="E45" s="24">
        <f>SUM(E43:E44)</f>
        <v>1754</v>
      </c>
      <c r="F45" s="101"/>
      <c r="H45" s="103"/>
      <c r="J45" s="103"/>
    </row>
    <row r="46" spans="3:17" ht="15" thickTop="1" x14ac:dyDescent="0.2">
      <c r="E46" s="28"/>
      <c r="F46" s="101"/>
      <c r="H46" s="28"/>
      <c r="J46" s="28"/>
    </row>
    <row r="47" spans="3:17" x14ac:dyDescent="0.2">
      <c r="C47" s="2" t="s">
        <v>16</v>
      </c>
      <c r="D47" s="2"/>
      <c r="E47" s="11">
        <v>263</v>
      </c>
      <c r="F47" s="97"/>
      <c r="G47" s="98"/>
      <c r="H47" s="45"/>
      <c r="J47" s="45"/>
      <c r="M47" s="5" t="s">
        <v>167</v>
      </c>
    </row>
    <row r="48" spans="3:17" x14ac:dyDescent="0.2">
      <c r="C48" s="2" t="s">
        <v>17</v>
      </c>
      <c r="D48" s="2"/>
      <c r="E48" s="11">
        <v>21</v>
      </c>
      <c r="F48" s="101"/>
      <c r="G48" s="98"/>
      <c r="H48" s="45"/>
      <c r="I48" s="102"/>
      <c r="J48" s="45"/>
      <c r="M48" s="9" t="s">
        <v>168</v>
      </c>
      <c r="N48" s="4">
        <f>E32/E22</f>
        <v>4.2531391260672909E-2</v>
      </c>
      <c r="O48" s="12" t="e">
        <f>J32/J22</f>
        <v>#DIV/0!</v>
      </c>
    </row>
    <row r="49" spans="3:15" x14ac:dyDescent="0.2">
      <c r="C49" s="2" t="s">
        <v>18</v>
      </c>
      <c r="D49" s="2"/>
      <c r="E49" s="18">
        <v>32</v>
      </c>
      <c r="F49" s="97"/>
      <c r="G49" s="98"/>
      <c r="H49" s="100"/>
      <c r="J49" s="100"/>
      <c r="M49" s="9" t="s">
        <v>169</v>
      </c>
      <c r="N49" s="4">
        <f>E32/E45</f>
        <v>5.3106043329532351E-2</v>
      </c>
      <c r="O49" s="12" t="e">
        <f>J32/J45</f>
        <v>#DIV/0!</v>
      </c>
    </row>
    <row r="50" spans="3:15" x14ac:dyDescent="0.2">
      <c r="C50" s="21" t="s">
        <v>19</v>
      </c>
      <c r="D50" s="2"/>
      <c r="E50" s="11">
        <f>SUM(E47:E49)</f>
        <v>316</v>
      </c>
      <c r="F50" s="101"/>
      <c r="H50" s="45"/>
      <c r="I50" s="104"/>
      <c r="J50" s="100"/>
      <c r="M50" s="9" t="s">
        <v>170</v>
      </c>
      <c r="N50" s="4">
        <f>E32/(E55+E54)</f>
        <v>9.4184024266936034E-2</v>
      </c>
      <c r="O50" s="12" t="e">
        <f>J32/(J54+J55)</f>
        <v>#DIV/0!</v>
      </c>
    </row>
    <row r="51" spans="3:15" x14ac:dyDescent="0.2">
      <c r="C51" s="2" t="s">
        <v>20</v>
      </c>
      <c r="D51" s="2"/>
      <c r="E51" s="11">
        <v>379</v>
      </c>
      <c r="F51" s="101"/>
      <c r="H51" s="45"/>
      <c r="I51" s="105"/>
      <c r="J51" s="45"/>
    </row>
    <row r="52" spans="3:15" x14ac:dyDescent="0.2">
      <c r="C52" s="2" t="s">
        <v>21</v>
      </c>
      <c r="D52" s="2"/>
      <c r="E52" s="18">
        <v>70</v>
      </c>
      <c r="F52" s="97"/>
      <c r="H52" s="100"/>
      <c r="J52" s="100"/>
    </row>
    <row r="53" spans="3:15" x14ac:dyDescent="0.2">
      <c r="C53" s="2" t="s">
        <v>24</v>
      </c>
      <c r="D53" s="2"/>
      <c r="E53" s="11">
        <f>E50+E51+E52</f>
        <v>765</v>
      </c>
      <c r="H53" s="45"/>
      <c r="I53" s="106"/>
      <c r="J53" s="45"/>
    </row>
    <row r="54" spans="3:15" ht="30" x14ac:dyDescent="0.2">
      <c r="C54" s="2" t="s">
        <v>25</v>
      </c>
      <c r="D54" s="2"/>
      <c r="E54" s="11">
        <v>300</v>
      </c>
      <c r="H54" s="45"/>
      <c r="I54" s="104"/>
      <c r="J54" s="45"/>
      <c r="K54" s="5"/>
      <c r="M54" s="5" t="s">
        <v>171</v>
      </c>
      <c r="N54" s="16">
        <v>2019</v>
      </c>
      <c r="O54" s="96" t="s">
        <v>151</v>
      </c>
    </row>
    <row r="55" spans="3:15" x14ac:dyDescent="0.2">
      <c r="C55" s="2" t="s">
        <v>27</v>
      </c>
      <c r="D55" s="2"/>
      <c r="E55" s="18">
        <v>689</v>
      </c>
      <c r="G55" s="45"/>
      <c r="H55" s="100"/>
      <c r="J55" s="45"/>
      <c r="K55" s="5"/>
      <c r="M55" s="9" t="s">
        <v>172</v>
      </c>
      <c r="N55" s="41">
        <f>E32/D15</f>
        <v>0.93147999999999742</v>
      </c>
      <c r="O55" s="55">
        <f>J32/D15</f>
        <v>0</v>
      </c>
    </row>
    <row r="56" spans="3:15" ht="15" thickBot="1" x14ac:dyDescent="0.25">
      <c r="C56" s="2" t="s">
        <v>29</v>
      </c>
      <c r="D56" s="2"/>
      <c r="E56" s="24">
        <f>E53+E54+E55</f>
        <v>1754</v>
      </c>
      <c r="F56" s="104"/>
      <c r="H56" s="103"/>
      <c r="J56" s="103"/>
      <c r="K56" s="5"/>
      <c r="M56" s="9" t="s">
        <v>173</v>
      </c>
      <c r="N56" s="41">
        <f>D16/N55</f>
        <v>10.735603555631927</v>
      </c>
      <c r="O56" s="55" t="e">
        <f>D17/O55</f>
        <v>#DIV/0!</v>
      </c>
    </row>
    <row r="57" spans="3:15" ht="15" thickTop="1" x14ac:dyDescent="0.2">
      <c r="H57" s="104"/>
      <c r="J57" s="104"/>
      <c r="M57" s="9" t="s">
        <v>174</v>
      </c>
      <c r="N57" s="9"/>
      <c r="O57" s="12" t="e">
        <f>O56/(D12+O61)</f>
        <v>#DIV/0!</v>
      </c>
    </row>
    <row r="58" spans="3:15" x14ac:dyDescent="0.2">
      <c r="M58" s="9" t="s">
        <v>175</v>
      </c>
      <c r="N58" s="41">
        <f>D16/(E54/D15)</f>
        <v>3.3333333333333335</v>
      </c>
      <c r="O58" s="55" t="e">
        <f>D17/(J54/D15)</f>
        <v>#DIV/0!</v>
      </c>
    </row>
    <row r="60" spans="3:15" x14ac:dyDescent="0.2">
      <c r="G60" s="5" t="s">
        <v>176</v>
      </c>
      <c r="H60" s="45"/>
      <c r="M60" s="9" t="s">
        <v>177</v>
      </c>
      <c r="N60" s="9"/>
      <c r="O60" s="12">
        <f>(J34-E34)/E34</f>
        <v>-1</v>
      </c>
    </row>
    <row r="61" spans="3:15" x14ac:dyDescent="0.2">
      <c r="M61" s="9" t="s">
        <v>178</v>
      </c>
      <c r="N61" s="9"/>
      <c r="O61" s="12">
        <f>(J32-E32)/E32</f>
        <v>-1</v>
      </c>
    </row>
    <row r="63" spans="3:15" ht="30" x14ac:dyDescent="0.2">
      <c r="D63" s="107" t="s">
        <v>22</v>
      </c>
      <c r="E63" s="108" t="s">
        <v>23</v>
      </c>
    </row>
    <row r="64" spans="3:15" x14ac:dyDescent="0.2">
      <c r="D64" s="31"/>
      <c r="E64" s="32"/>
      <c r="M64" s="1" t="s">
        <v>179</v>
      </c>
    </row>
    <row r="65" spans="3:15" x14ac:dyDescent="0.2">
      <c r="D65" s="31"/>
      <c r="E65" s="32"/>
    </row>
    <row r="66" spans="3:15" x14ac:dyDescent="0.2">
      <c r="C66" s="1" t="s">
        <v>180</v>
      </c>
      <c r="D66" s="31">
        <v>8</v>
      </c>
      <c r="E66" s="32">
        <v>8</v>
      </c>
      <c r="M66" s="9" t="s">
        <v>181</v>
      </c>
      <c r="N66" s="4">
        <f>E32/E22</f>
        <v>4.2531391260672909E-2</v>
      </c>
      <c r="O66" s="12" t="e">
        <f>J32/J22</f>
        <v>#DIV/0!</v>
      </c>
    </row>
    <row r="67" spans="3:15" x14ac:dyDescent="0.2">
      <c r="C67" s="1" t="s">
        <v>182</v>
      </c>
      <c r="D67" s="31">
        <v>2</v>
      </c>
      <c r="E67" s="32">
        <v>2</v>
      </c>
      <c r="M67" s="9" t="s">
        <v>183</v>
      </c>
      <c r="N67" s="4">
        <f>E22/E45</f>
        <v>1.2486316989737742</v>
      </c>
      <c r="O67" s="12" t="e">
        <f>J22/J45</f>
        <v>#DIV/0!</v>
      </c>
    </row>
    <row r="68" spans="3:15" x14ac:dyDescent="0.2">
      <c r="C68" s="1" t="s">
        <v>184</v>
      </c>
      <c r="D68" s="31">
        <v>2</v>
      </c>
      <c r="E68" s="32">
        <v>2</v>
      </c>
      <c r="M68" s="9" t="s">
        <v>185</v>
      </c>
      <c r="N68" s="4">
        <f>E45/(E54+E55)</f>
        <v>1.7735085945399394</v>
      </c>
      <c r="O68" s="12" t="e">
        <f>J45/(J55+J54)</f>
        <v>#DIV/0!</v>
      </c>
    </row>
    <row r="69" spans="3:15" x14ac:dyDescent="0.2">
      <c r="C69" s="1" t="s">
        <v>186</v>
      </c>
      <c r="D69" s="31">
        <v>2</v>
      </c>
      <c r="E69" s="32">
        <v>2</v>
      </c>
    </row>
    <row r="70" spans="3:15" x14ac:dyDescent="0.2">
      <c r="C70" s="1" t="s">
        <v>187</v>
      </c>
      <c r="D70" s="31">
        <v>2</v>
      </c>
      <c r="E70" s="32">
        <v>2</v>
      </c>
      <c r="M70" s="9" t="s">
        <v>188</v>
      </c>
      <c r="N70" s="4">
        <f>N66*N67*N68</f>
        <v>9.4184024266936034E-2</v>
      </c>
      <c r="O70" s="12" t="e">
        <f>O66*O67*O68</f>
        <v>#DIV/0!</v>
      </c>
    </row>
    <row r="71" spans="3:15" x14ac:dyDescent="0.2">
      <c r="C71" s="1" t="s">
        <v>189</v>
      </c>
      <c r="D71" s="31">
        <v>2</v>
      </c>
      <c r="E71" s="32">
        <v>2</v>
      </c>
    </row>
    <row r="72" spans="3:15" x14ac:dyDescent="0.2">
      <c r="C72" s="1" t="s">
        <v>190</v>
      </c>
      <c r="D72" s="31">
        <v>2</v>
      </c>
      <c r="E72" s="32">
        <v>2</v>
      </c>
    </row>
    <row r="73" spans="3:15" x14ac:dyDescent="0.2">
      <c r="C73" s="1" t="s">
        <v>191</v>
      </c>
      <c r="D73" s="35">
        <v>5</v>
      </c>
      <c r="E73" s="36">
        <v>5</v>
      </c>
    </row>
    <row r="74" spans="3:15" x14ac:dyDescent="0.2">
      <c r="D74" s="31"/>
      <c r="E74" s="32"/>
    </row>
    <row r="75" spans="3:15" x14ac:dyDescent="0.2">
      <c r="C75" s="1" t="s">
        <v>192</v>
      </c>
      <c r="D75" s="31">
        <f>SUM(D66:D74)</f>
        <v>25</v>
      </c>
      <c r="E75" s="32">
        <f>SUM(E66:E74)</f>
        <v>25</v>
      </c>
    </row>
  </sheetData>
  <mergeCells count="1">
    <mergeCell ref="C3:D3"/>
  </mergeCells>
  <pageMargins left="0.75" right="0.75" top="1" bottom="1" header="0.5" footer="0.5"/>
  <pageSetup scale="4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EA5B-2C26-469B-857C-1CD8D584A8EB}">
  <dimension ref="C2:F10"/>
  <sheetViews>
    <sheetView workbookViewId="0">
      <selection activeCell="K40" sqref="K40"/>
    </sheetView>
  </sheetViews>
  <sheetFormatPr baseColWidth="10" defaultColWidth="8.83203125" defaultRowHeight="13" x14ac:dyDescent="0.15"/>
  <cols>
    <col min="3" max="3" width="27.33203125" bestFit="1" customWidth="1"/>
  </cols>
  <sheetData>
    <row r="2" spans="3:6" ht="28" x14ac:dyDescent="0.15">
      <c r="E2" s="109" t="s">
        <v>22</v>
      </c>
      <c r="F2" s="110" t="s">
        <v>23</v>
      </c>
    </row>
    <row r="3" spans="3:6" x14ac:dyDescent="0.15">
      <c r="E3" s="109"/>
      <c r="F3" s="110"/>
    </row>
    <row r="4" spans="3:6" x14ac:dyDescent="0.15">
      <c r="C4" t="s">
        <v>26</v>
      </c>
      <c r="E4" s="111">
        <f>' Common Size'!K37</f>
        <v>25</v>
      </c>
      <c r="F4" s="112">
        <f>' Common Size'!L37</f>
        <v>25</v>
      </c>
    </row>
    <row r="5" spans="3:6" x14ac:dyDescent="0.15">
      <c r="C5" t="s">
        <v>193</v>
      </c>
      <c r="E5" s="111">
        <f>'Statement of Cash Flows'!L44</f>
        <v>25</v>
      </c>
      <c r="F5" s="112">
        <f>'Statement of Cash Flows'!M44</f>
        <v>25</v>
      </c>
    </row>
    <row r="6" spans="3:6" x14ac:dyDescent="0.15">
      <c r="C6" t="s">
        <v>194</v>
      </c>
      <c r="E6" s="111">
        <f>'FCF NOWC EVA MVA '!L33</f>
        <v>25</v>
      </c>
      <c r="F6" s="112">
        <f>'FCF NOWC EVA MVA '!M33</f>
        <v>25</v>
      </c>
    </row>
    <row r="7" spans="3:6" x14ac:dyDescent="0.15">
      <c r="C7" t="s">
        <v>195</v>
      </c>
      <c r="E7" s="111">
        <f>' Capital Budget and Uncertainty'!G49</f>
        <v>25</v>
      </c>
      <c r="F7" s="112">
        <f>' Capital Budget and Uncertainty'!H49</f>
        <v>25</v>
      </c>
    </row>
    <row r="8" spans="3:6" x14ac:dyDescent="0.15">
      <c r="C8" t="s">
        <v>196</v>
      </c>
      <c r="E8" s="113">
        <f>' Forecast Analysis '!D75</f>
        <v>25</v>
      </c>
      <c r="F8" s="114">
        <f>' Forecast Analysis '!E75</f>
        <v>25</v>
      </c>
    </row>
    <row r="9" spans="3:6" x14ac:dyDescent="0.15">
      <c r="E9" s="111"/>
      <c r="F9" s="112"/>
    </row>
    <row r="10" spans="3:6" x14ac:dyDescent="0.15">
      <c r="E10" s="111">
        <v>100</v>
      </c>
      <c r="F10" s="112">
        <f>SUM(F4:F8)</f>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 Common Size</vt:lpstr>
      <vt:lpstr>Statement of Cash Flows</vt:lpstr>
      <vt:lpstr>FCF NOWC EVA MVA </vt:lpstr>
      <vt:lpstr> Capital Budget and Uncertainty</vt:lpstr>
      <vt:lpstr> Forecast Analysis </vt:lpstr>
      <vt:lpstr>GRADE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Wyeth, Mela</dc:creator>
  <cp:lastModifiedBy>Microsoft Office User</cp:lastModifiedBy>
  <dcterms:created xsi:type="dcterms:W3CDTF">2021-04-19T16:00:21Z</dcterms:created>
  <dcterms:modified xsi:type="dcterms:W3CDTF">2021-04-21T00:54:52Z</dcterms:modified>
</cp:coreProperties>
</file>